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autoCompressPictures="0"/>
  <mc:AlternateContent xmlns:mc="http://schemas.openxmlformats.org/markup-compatibility/2006">
    <mc:Choice Requires="x15">
      <x15ac:absPath xmlns:x15ac="http://schemas.microsoft.com/office/spreadsheetml/2010/11/ac" url="C:\Users\nedmu\Desktop\UNICEF LACRO\Contrato\Productos\"/>
    </mc:Choice>
  </mc:AlternateContent>
  <xr:revisionPtr revIDLastSave="0" documentId="8_{AE2934DA-C599-46C1-88CE-E5AB06B48B78}" xr6:coauthVersionLast="47" xr6:coauthVersionMax="47" xr10:uidLastSave="{00000000-0000-0000-0000-000000000000}"/>
  <bookViews>
    <workbookView xWindow="-120" yWindow="-120" windowWidth="20730" windowHeight="11040" tabRatio="755" xr2:uid="{00000000-000D-0000-FFFF-FFFF00000000}"/>
  </bookViews>
  <sheets>
    <sheet name="Duracion Trabajo de Campo" sheetId="5" r:id="rId1"/>
    <sheet name="Duracion Listado" sheetId="10" r:id="rId2"/>
    <sheet name="Personal de Listado" sheetId="11" r:id="rId3"/>
    <sheet name="Personal Trabajo de Campo" sheetId="8" r:id="rId4"/>
    <sheet name="Suministros" sheetId="7" r:id="rId5"/>
    <sheet name="Suministros para tabletas" sheetId="15" r:id="rId6"/>
    <sheet name="Suministros Opcionales" sheetId="16" r:id="rId7"/>
    <sheet name="Suministros Calidad de Agua" sheetId="14" r:id="rId8"/>
  </sheets>
  <definedNames>
    <definedName name="Print_Titles_MI" localSheetId="7">#REF!</definedName>
    <definedName name="Print_Titles_MI" localSheetId="6">#REF!</definedName>
    <definedName name="Print_Titles_M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1" i="14" l="1"/>
  <c r="F42" i="14"/>
  <c r="F43" i="14"/>
  <c r="G43" i="14" s="1"/>
  <c r="F44" i="14"/>
  <c r="F45" i="14"/>
  <c r="G45" i="14" s="1"/>
  <c r="F46" i="14"/>
  <c r="K46" i="14" s="1"/>
  <c r="L46" i="14" s="1"/>
  <c r="F47" i="14"/>
  <c r="K47" i="14" s="1"/>
  <c r="L47" i="14" s="1"/>
  <c r="F48" i="14"/>
  <c r="K48" i="14" s="1"/>
  <c r="L48" i="14" s="1"/>
  <c r="K41" i="14"/>
  <c r="L41" i="14" s="1"/>
  <c r="K44" i="14"/>
  <c r="L44" i="14" s="1"/>
  <c r="K43" i="14"/>
  <c r="L43" i="14" s="1"/>
  <c r="K42" i="14"/>
  <c r="L42" i="14" s="1"/>
  <c r="G47" i="14"/>
  <c r="G44" i="14"/>
  <c r="G42" i="14"/>
  <c r="L23" i="14"/>
  <c r="L22" i="14"/>
  <c r="L21" i="14"/>
  <c r="L20" i="14"/>
  <c r="L19" i="14"/>
  <c r="L18" i="14"/>
  <c r="L24" i="14" s="1"/>
  <c r="L13" i="14"/>
  <c r="L12" i="14"/>
  <c r="L11" i="14"/>
  <c r="L10" i="14"/>
  <c r="L14" i="14" s="1"/>
  <c r="K23" i="14"/>
  <c r="K22" i="14"/>
  <c r="K21" i="14"/>
  <c r="K20" i="14"/>
  <c r="K19" i="14"/>
  <c r="K18" i="14"/>
  <c r="K10" i="14"/>
  <c r="K13" i="14"/>
  <c r="K12" i="14"/>
  <c r="K11" i="14"/>
  <c r="G23" i="14"/>
  <c r="G22" i="14"/>
  <c r="G21" i="14"/>
  <c r="G20" i="14"/>
  <c r="G19" i="14"/>
  <c r="G18" i="14"/>
  <c r="F23" i="14"/>
  <c r="F22" i="14"/>
  <c r="F21" i="14"/>
  <c r="F20" i="14"/>
  <c r="F19" i="14"/>
  <c r="F18" i="14"/>
  <c r="G10" i="14"/>
  <c r="G13" i="14"/>
  <c r="G12" i="14"/>
  <c r="G11" i="14"/>
  <c r="F13" i="14"/>
  <c r="F12" i="14"/>
  <c r="F11" i="14"/>
  <c r="F10" i="14"/>
  <c r="C8" i="15"/>
  <c r="C10" i="7"/>
  <c r="C8" i="7"/>
  <c r="G48" i="14" l="1"/>
  <c r="K45" i="14"/>
  <c r="L45" i="14" s="1"/>
  <c r="G46" i="14"/>
  <c r="G41" i="14"/>
  <c r="L26" i="14"/>
  <c r="F13" i="10" l="1"/>
  <c r="C20" i="15"/>
  <c r="F29" i="8"/>
  <c r="F14" i="5"/>
  <c r="F24" i="11"/>
  <c r="F23" i="11"/>
  <c r="F22" i="11"/>
  <c r="F21" i="11"/>
  <c r="F20" i="11"/>
  <c r="F19" i="11"/>
  <c r="F10" i="7"/>
  <c r="F8" i="7"/>
  <c r="C12" i="7"/>
  <c r="C16" i="15"/>
  <c r="F8" i="16"/>
  <c r="C20" i="16"/>
  <c r="C18" i="16"/>
  <c r="C16" i="16"/>
  <c r="C14" i="16"/>
  <c r="C12" i="16"/>
  <c r="C10" i="16"/>
  <c r="C8" i="16"/>
  <c r="C18" i="15" l="1"/>
  <c r="C12" i="15"/>
  <c r="C14" i="15"/>
  <c r="C10" i="15"/>
  <c r="F15" i="16"/>
  <c r="C8" i="14"/>
  <c r="C10" i="14"/>
  <c r="F30" i="8"/>
  <c r="F11" i="16" l="1"/>
  <c r="F13" i="16"/>
  <c r="L49" i="14" l="1"/>
  <c r="F10" i="5"/>
  <c r="F12" i="5" s="1"/>
  <c r="F16" i="5" s="1"/>
  <c r="C6" i="10"/>
  <c r="F15" i="10" s="1"/>
  <c r="C10" i="11"/>
  <c r="F9" i="11" s="1"/>
  <c r="C14" i="7"/>
  <c r="F28" i="8"/>
  <c r="C16" i="8"/>
  <c r="C14" i="8"/>
  <c r="C10" i="8"/>
  <c r="C8" i="8"/>
  <c r="F8" i="8" s="1"/>
  <c r="F8" i="5"/>
  <c r="L51" i="14" l="1"/>
  <c r="L54" i="14"/>
  <c r="L57" i="14" s="1"/>
  <c r="F17" i="5"/>
  <c r="F21" i="5"/>
  <c r="F10" i="11"/>
  <c r="C8" i="11"/>
  <c r="F11" i="11"/>
  <c r="F17" i="10"/>
  <c r="C12" i="11" s="1"/>
  <c r="F19" i="10"/>
  <c r="L30" i="14" l="1"/>
  <c r="F12" i="11"/>
  <c r="F13" i="11" s="1"/>
  <c r="F11" i="8"/>
  <c r="C12" i="8"/>
  <c r="F9" i="8" s="1"/>
  <c r="F10" i="8" s="1"/>
  <c r="F12" i="8" s="1"/>
  <c r="F25" i="11" l="1"/>
  <c r="F17" i="8"/>
  <c r="F26" i="8" s="1"/>
  <c r="F16" i="8"/>
  <c r="F15" i="8"/>
  <c r="F24" i="8" l="1"/>
  <c r="F18" i="8"/>
  <c r="F25" i="8"/>
  <c r="F19" i="8" l="1"/>
  <c r="F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Nestor Eduardo Muñoz Rojas</author>
  </authors>
  <commentList>
    <comment ref="E8" authorId="0" shapeId="0" xr:uid="{652905E5-D730-4963-9922-59BD7F0AEEE3}">
      <text>
        <r>
          <rPr>
            <b/>
            <sz val="9"/>
            <color indexed="81"/>
            <rFont val="Tahoma"/>
            <family val="2"/>
          </rPr>
          <t>Colocar hipervíncula</t>
        </r>
        <r>
          <rPr>
            <sz val="9"/>
            <color indexed="81"/>
            <rFont val="Tahoma"/>
            <family val="2"/>
          </rPr>
          <t xml:space="preserve">
</t>
        </r>
      </text>
    </comment>
    <comment ref="E10" authorId="0" shapeId="0" xr:uid="{CA6B4AFF-A90E-487E-9096-A3FB6525B51C}">
      <text>
        <r>
          <rPr>
            <b/>
            <sz val="9"/>
            <color indexed="81"/>
            <rFont val="Tahoma"/>
            <family val="2"/>
          </rPr>
          <t>Colocar hipervículo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Nestor Eduardo Muñoz Rojas</author>
  </authors>
  <commentList>
    <comment ref="B1" authorId="0" shapeId="0" xr:uid="{068F436D-4FA8-441C-8E65-37C93311BA76}">
      <text>
        <r>
          <rPr>
            <b/>
            <sz val="9"/>
            <color indexed="81"/>
            <rFont val="Tahoma"/>
            <family val="2"/>
          </rPr>
          <t>Si hizo toda la traducción</t>
        </r>
      </text>
    </comment>
    <comment ref="E20" authorId="0" shapeId="0" xr:uid="{2E3EA642-ECAF-4D26-9E89-00A794E4317F}">
      <text>
        <r>
          <rPr>
            <b/>
            <sz val="9"/>
            <color indexed="81"/>
            <rFont val="Tahoma"/>
            <family val="2"/>
          </rPr>
          <t>Entonces cual sería la opción de la tarjeta SD?</t>
        </r>
      </text>
    </comment>
  </commentList>
</comments>
</file>

<file path=xl/sharedStrings.xml><?xml version="1.0" encoding="utf-8"?>
<sst xmlns="http://schemas.openxmlformats.org/spreadsheetml/2006/main" count="280" uniqueCount="197">
  <si>
    <t xml:space="preserve">Plantilla para el cálculo de la duración del trabajo de campo </t>
  </si>
  <si>
    <t>Introduzca los valores del plan de encuesta MICS en la tabla de valores de entrada Las estimaciones correspondientes a la duración trabajo de campo se mostrarán en la tabla de valores de producto. Esta hoja de cálculo sirve como entrada para el resto del libro de trabajo. En consecuencia, se recomienda introducir en primer lugar los datos aquí y, posteriormente, confirmar continuamente que los valores correctos se introduzcan en entradas en este lugar.</t>
  </si>
  <si>
    <t>VALORES DE ENTRADA</t>
  </si>
  <si>
    <t>VALORES DE PRODUCTO</t>
  </si>
  <si>
    <t>Parámetro</t>
  </si>
  <si>
    <t>Valor</t>
  </si>
  <si>
    <t>Estimaciones</t>
  </si>
  <si>
    <t>Número de hogares (tamaño total de la muestra)</t>
  </si>
  <si>
    <t>Número total de días de trabajo necesarios</t>
  </si>
  <si>
    <r>
      <t>Número de hogares a completarse por día por entrevistadora (neto)</t>
    </r>
    <r>
      <rPr>
        <vertAlign val="superscript"/>
        <sz val="10"/>
        <rFont val="Arial"/>
        <family val="2"/>
      </rPr>
      <t>1</t>
    </r>
    <r>
      <rPr>
        <sz val="10"/>
        <rFont val="Arial"/>
        <family val="2"/>
      </rPr>
      <t xml:space="preserve"> </t>
    </r>
  </si>
  <si>
    <t>Número de hogares completados por día por equipo</t>
  </si>
  <si>
    <r>
      <t>Número de equipos de trabajo de campo</t>
    </r>
    <r>
      <rPr>
        <vertAlign val="superscript"/>
        <sz val="10"/>
        <rFont val="Arial"/>
        <family val="2"/>
      </rPr>
      <t>2</t>
    </r>
  </si>
  <si>
    <t>Número de hogares completados por día por todos los equipos</t>
  </si>
  <si>
    <r>
      <t>Número de entrevistadoras por equipo</t>
    </r>
    <r>
      <rPr>
        <vertAlign val="superscript"/>
        <sz val="10"/>
        <rFont val="Arial"/>
        <family val="2"/>
      </rPr>
      <t>3</t>
    </r>
  </si>
  <si>
    <r>
      <t xml:space="preserve">Número de días laborables por conglomerado </t>
    </r>
    <r>
      <rPr>
        <i/>
        <sz val="10"/>
        <rFont val="Arial"/>
        <family val="2"/>
      </rPr>
      <t>(redondeado)</t>
    </r>
  </si>
  <si>
    <r>
      <t>Número de hogares por conglomerado</t>
    </r>
    <r>
      <rPr>
        <vertAlign val="superscript"/>
        <sz val="10"/>
        <rFont val="Arial"/>
        <family val="2"/>
      </rPr>
      <t>4</t>
    </r>
  </si>
  <si>
    <t>Duración del trabajo de campo en días de trabajo</t>
  </si>
  <si>
    <t>Duración total en semanas</t>
  </si>
  <si>
    <r>
      <t>1 semana = 5 días de trabajo + 1 descanso y 1 día de viaje</t>
    </r>
    <r>
      <rPr>
        <i/>
        <vertAlign val="superscript"/>
        <sz val="10"/>
        <rFont val="Arial"/>
        <family val="2"/>
      </rPr>
      <t>5</t>
    </r>
  </si>
  <si>
    <t>Duración total en días del trabajo de campo</t>
  </si>
  <si>
    <t>Fecha de inicio del trabajo de campo [dd/mm/aaaa]</t>
  </si>
  <si>
    <t>Fecha de finalización del trabajo de campo [dd/mm/aaaa]</t>
  </si>
  <si>
    <r>
      <rPr>
        <vertAlign val="superscript"/>
        <sz val="8"/>
        <rFont val="Arial"/>
        <family val="2"/>
      </rPr>
      <t xml:space="preserve">1 </t>
    </r>
    <r>
      <rPr>
        <sz val="8"/>
        <rFont val="Arial"/>
        <family val="2"/>
      </rPr>
      <t>En promedio, las entrevistadoras deberían ser capaces de completar cómodamente hasta 3-4 hogares por día, incluyendo todos los cuestionarios. Esta cifra es neta; es decir, que incluye re-visitas a los hogares. Tratar de llegar a un mayor número de hogares por día dará lugar a problemas en la calidad de los datos.</t>
    </r>
  </si>
  <si>
    <r>
      <t xml:space="preserve">2 </t>
    </r>
    <r>
      <rPr>
        <sz val="8"/>
        <rFont val="Arial"/>
        <family val="2"/>
      </rPr>
      <t>El número de equipos de trabajo de campo debe mantenerse en un tamaño manejable (se recomienda entre 5 a 20 equipos) con el fin de garantizar el monitoreo en campo y las medidas garantia de calidad.</t>
    </r>
  </si>
  <si>
    <r>
      <rPr>
        <vertAlign val="superscript"/>
        <sz val="8"/>
        <rFont val="Arial"/>
        <family val="2"/>
      </rPr>
      <t>3</t>
    </r>
    <r>
      <rPr>
        <sz val="8"/>
        <rFont val="Arial"/>
        <family val="2"/>
      </rPr>
      <t xml:space="preserve"> MICS recomienda que los equipos de campo tengan 4 entrevistadoras, así como 1 supervisor y 1 medidor.</t>
    </r>
  </si>
  <si>
    <r>
      <rPr>
        <vertAlign val="superscript"/>
        <sz val="8"/>
        <rFont val="Arial"/>
        <family val="2"/>
      </rPr>
      <t>4</t>
    </r>
    <r>
      <rPr>
        <sz val="8"/>
        <rFont val="Arial"/>
        <family val="2"/>
      </rPr>
      <t xml:space="preserve"> MICS recomienda entre 15 y 25 hogares por conglomerado.</t>
    </r>
  </si>
  <si>
    <r>
      <rPr>
        <vertAlign val="superscript"/>
        <sz val="8"/>
        <rFont val="Arial"/>
        <family val="2"/>
      </rPr>
      <t>5</t>
    </r>
    <r>
      <rPr>
        <sz val="8"/>
        <rFont val="Arial"/>
        <family val="2"/>
      </rPr>
      <t xml:space="preserve"> Los equipos de trabajo de campo requieren disponer de un día libre a la semana. Además, se asume un día de viaje (neto) por semana sobre la base de que un equipo cubre normalmente una serie de conglomerados desde una ubicación base cambiante, viaja entre conglomerados todos los días y cambia de base aproximadamente una vez a la semana. En el caso de que el movimiento del equipo siga un patrón diferente; es decir, sin tales ubicaciones base, deberá incrementarse el número de días de viaje. Este sería el caso si hubiera distancias largas entre los conglomerados.</t>
    </r>
  </si>
  <si>
    <t>Plantilla para el cálculo de la duración del listado y mapeo del hogar</t>
  </si>
  <si>
    <t>Introduzca los valores del plan de la encuesta MICS en la tabla de valores de entrada (requiere el dato de entrada de la hoja de cálculo 'Duración de trabajo de campo'). Las estimaciones correspondientes a la duración del listado y mapeo se mostrarán en la tabla de valores de producto. Discuta los detalles con el experto en muestreo.</t>
  </si>
  <si>
    <t>VALORES DE ENTRADA LEÍDOS DESDE LA HOJA DE CÁLCULO “Duración del trabajo de campo”</t>
  </si>
  <si>
    <t>Número de conglomerados</t>
  </si>
  <si>
    <t xml:space="preserve">VALORES DE ENTRADA </t>
  </si>
  <si>
    <r>
      <t>Número de conglomerados a completarse por día de trabajo por equipo de listado</t>
    </r>
    <r>
      <rPr>
        <vertAlign val="superscript"/>
        <sz val="10"/>
        <rFont val="Arial"/>
        <family val="2"/>
      </rPr>
      <t>6</t>
    </r>
  </si>
  <si>
    <r>
      <t>Número total de días de trabajo necesarios + 20%</t>
    </r>
    <r>
      <rPr>
        <vertAlign val="superscript"/>
        <sz val="10"/>
        <rFont val="Arial"/>
        <family val="2"/>
      </rPr>
      <t>8</t>
    </r>
  </si>
  <si>
    <r>
      <t>Número de equipos de listado</t>
    </r>
    <r>
      <rPr>
        <vertAlign val="superscript"/>
        <sz val="10"/>
        <rFont val="Arial"/>
        <family val="2"/>
      </rPr>
      <t>7</t>
    </r>
  </si>
  <si>
    <t>Duración del listado y mapeo en días de trabajo</t>
  </si>
  <si>
    <r>
      <t>1 semana = (6 días de trabajo + 1 descanso)</t>
    </r>
    <r>
      <rPr>
        <i/>
        <vertAlign val="superscript"/>
        <sz val="10"/>
        <rFont val="Arial"/>
        <family val="2"/>
      </rPr>
      <t>9</t>
    </r>
  </si>
  <si>
    <t>Fecha de inicio del listado y mapeo [dd/mm/aaaa]</t>
  </si>
  <si>
    <r>
      <rPr>
        <vertAlign val="superscript"/>
        <sz val="8"/>
        <rFont val="Arial"/>
        <family val="2"/>
      </rPr>
      <t xml:space="preserve">6 </t>
    </r>
    <r>
      <rPr>
        <sz val="8"/>
        <rFont val="Arial"/>
        <family val="2"/>
      </rPr>
      <t>En promedio, un listador y un cartógrafo deberían poder completar cómodamente 1 conglomerado por día (generalmente con un promedio general de 80 a 120 hogares cada uno). Debería ser posible incluso si la encuesta recopila información adicional sobre la presencia de niños menores de 5 años en los hogares incluidos en la lista (o algo similar necesario para el sobremuestreo), preguntas adicionales sobre poblaciones especiales como los romaníes o si no hay mapas censales o mapas antiguos.  Más de un conglomerado por día es posible principalmente en conglomerados urbanos y requiere mapas u ortofotos recién creados y más atención en el listado.</t>
    </r>
  </si>
  <si>
    <r>
      <t xml:space="preserve">7 </t>
    </r>
    <r>
      <rPr>
        <sz val="8"/>
        <rFont val="Arial"/>
        <family val="2"/>
      </rPr>
      <t>El número de equipos debe limitarse en un número manejable que se pueda capacitar y supervisar adecuadamente en el campo. Se recomienda tener un máximo de 3 equipos por región y no más de 50 empleados que manejar.</t>
    </r>
  </si>
  <si>
    <r>
      <t xml:space="preserve">8 </t>
    </r>
    <r>
      <rPr>
        <sz val="8"/>
        <rFont val="Arial"/>
        <family val="2"/>
      </rPr>
      <t>Se deben considerar días de viaje adicionales para los equipos que cubren áreas geográficas extensas o conglomerados remotos que involucren viajes largos o exigentes (viajes largos en carro, caminatas, navegación). Independientemente, se recomienda mantener un mínimo del 20% de días adicionales para cualquier encuesta, a fin de tener en cuenta los conlomerados grandes, la segmentación, las malas condiciones climáticas, las re-visitas, etc. Esto debe discutirse con el experto en muestreo cuando se planifique la recolección de datos en el mapeo y listado.</t>
    </r>
  </si>
  <si>
    <r>
      <t>9</t>
    </r>
    <r>
      <rPr>
        <sz val="8"/>
        <rFont val="Arial"/>
        <family val="2"/>
      </rPr>
      <t xml:space="preserve"> Los equipos de listado y mapeo requieren de un día libre a la semana.</t>
    </r>
  </si>
  <si>
    <t>Plantilla para calcular el número total de personal  necesario para el listado y mapeo de hogares</t>
  </si>
  <si>
    <r>
      <t xml:space="preserve">Introduzca valores del plan de encuesta MICS en la tabla de valores de entrada (requiere de los datos de entrada en la </t>
    </r>
    <r>
      <rPr>
        <i/>
        <sz val="8"/>
        <rFont val="Arial"/>
        <family val="2"/>
        <charset val="238"/>
      </rPr>
      <t>hoja de cálculo 'Duración del trabajo de campo'). Las estimaciones correspondientes de requisitos del personal de listado y mapeo y participantes en capacitaciones se mostrarán en la tabla de valores de productos.</t>
    </r>
  </si>
  <si>
    <t>VALORES DE ENTRADA LEÍDOS DESDE LA HOJA DE CÁLCULO “Duración Trabajo de Campo”</t>
  </si>
  <si>
    <t>VALORES DE PRODUCTO PARA TRABAJO DE CAMPO</t>
  </si>
  <si>
    <t>Número de personal de trabajo de campo requerido:</t>
  </si>
  <si>
    <r>
      <t>Supervisores</t>
    </r>
    <r>
      <rPr>
        <vertAlign val="superscript"/>
        <sz val="10"/>
        <rFont val="Arial"/>
        <family val="2"/>
      </rPr>
      <t>12</t>
    </r>
  </si>
  <si>
    <t>Número de equipos de listado</t>
  </si>
  <si>
    <t>Listadores</t>
  </si>
  <si>
    <t>Cartógrafos</t>
  </si>
  <si>
    <t>Duración en semanas</t>
  </si>
  <si>
    <t>Total</t>
  </si>
  <si>
    <t xml:space="preserve">     1 semana = 6 días de trabajo + 1 descanso</t>
  </si>
  <si>
    <r>
      <t>Total+10%</t>
    </r>
    <r>
      <rPr>
        <i/>
        <vertAlign val="superscript"/>
        <sz val="8"/>
        <rFont val="Arial"/>
        <family val="2"/>
      </rPr>
      <t>13</t>
    </r>
    <r>
      <rPr>
        <i/>
        <sz val="8"/>
        <rFont val="Arial"/>
        <family val="2"/>
      </rPr>
      <t xml:space="preserve"> adicional para la selección del mejor rendimiento/reemplazo</t>
    </r>
  </si>
  <si>
    <t>VALORES DE PRODUCTO PARA CAPACITACIÓN</t>
  </si>
  <si>
    <t>Personal de la oficina central</t>
  </si>
  <si>
    <t>Supervisores</t>
  </si>
  <si>
    <r>
      <t>Editores de listado</t>
    </r>
    <r>
      <rPr>
        <vertAlign val="superscript"/>
        <sz val="10"/>
        <rFont val="Arial"/>
        <family val="2"/>
      </rPr>
      <t>10</t>
    </r>
  </si>
  <si>
    <r>
      <t>Editores de mapeo/Administradores</t>
    </r>
    <r>
      <rPr>
        <vertAlign val="superscript"/>
        <sz val="10"/>
        <rFont val="Arial"/>
        <family val="2"/>
      </rPr>
      <t>11</t>
    </r>
  </si>
  <si>
    <r>
      <t>10%</t>
    </r>
    <r>
      <rPr>
        <i/>
        <vertAlign val="superscript"/>
        <sz val="9"/>
        <rFont val="Arial"/>
        <family val="2"/>
      </rPr>
      <t>13</t>
    </r>
    <r>
      <rPr>
        <i/>
        <sz val="9"/>
        <rFont val="Arial"/>
        <family val="2"/>
      </rPr>
      <t xml:space="preserve"> adicional para la selección del mejor rendimiento/ reemplazo</t>
    </r>
  </si>
  <si>
    <t>Editores de listado</t>
  </si>
  <si>
    <t>Editores de mapeo/Administradores</t>
  </si>
  <si>
    <r>
      <rPr>
        <vertAlign val="superscript"/>
        <sz val="8"/>
        <rFont val="Arial"/>
        <family val="2"/>
      </rPr>
      <t>10</t>
    </r>
    <r>
      <rPr>
        <sz val="8"/>
        <rFont val="Arial"/>
        <family val="2"/>
      </rPr>
      <t xml:space="preserve"> Los editores de listados gestionan las ediciones diarias de los datos del listado recibidos del campo y comunican los resultados al equipo de gestión de la encuesta.</t>
    </r>
  </si>
  <si>
    <r>
      <t>Total a capacitar</t>
    </r>
    <r>
      <rPr>
        <b/>
        <vertAlign val="superscript"/>
        <sz val="10"/>
        <rFont val="Arial"/>
        <family val="2"/>
      </rPr>
      <t>14</t>
    </r>
    <r>
      <rPr>
        <b/>
        <sz val="10"/>
        <rFont val="Arial"/>
        <family val="2"/>
      </rPr>
      <t xml:space="preserve"> para el listado y mapeo</t>
    </r>
  </si>
  <si>
    <r>
      <rPr>
        <vertAlign val="superscript"/>
        <sz val="8"/>
        <rFont val="Arial"/>
        <family val="2"/>
      </rPr>
      <t xml:space="preserve">11 </t>
    </r>
    <r>
      <rPr>
        <sz val="8"/>
        <rFont val="Arial"/>
        <family val="2"/>
      </rPr>
      <t>Del mismo modo, los editores de mapeo o los administradores gestionan y compilan los mapas recibidos desde el campo.</t>
    </r>
  </si>
  <si>
    <r>
      <rPr>
        <vertAlign val="superscript"/>
        <sz val="8"/>
        <rFont val="Arial"/>
        <family val="2"/>
      </rPr>
      <t>12</t>
    </r>
    <r>
      <rPr>
        <sz val="8"/>
        <rFont val="Arial"/>
        <family val="2"/>
      </rPr>
      <t xml:space="preserve"> Se espera que un supervisor supervise el trabajo de 3 equipos.</t>
    </r>
  </si>
  <si>
    <r>
      <rPr>
        <vertAlign val="superscript"/>
        <sz val="8"/>
        <rFont val="Arial"/>
        <family val="2"/>
      </rPr>
      <t>13</t>
    </r>
    <r>
      <rPr>
        <sz val="8"/>
        <rFont val="Arial"/>
        <family val="2"/>
      </rPr>
      <t xml:space="preserve"> Dependiendo de la experiencia con la deserción y la capacidad, se puede aumentar el número de aprendices adicionales, pero no debe reducir.</t>
    </r>
  </si>
  <si>
    <r>
      <rPr>
        <vertAlign val="superscript"/>
        <sz val="8"/>
        <rFont val="Arial"/>
        <family val="2"/>
      </rPr>
      <t>14</t>
    </r>
    <r>
      <rPr>
        <sz val="8"/>
        <rFont val="Arial"/>
        <family val="2"/>
      </rPr>
      <t xml:space="preserve"> Las instalaciones para capacitación deben incluir una sala grande para las sesiones plenarias y 2 aulas más pequeñas para sesiones divididas para listadores y cartógrafos.</t>
    </r>
  </si>
  <si>
    <t>Plantilla para calcular el número total de equipos y de personal de trabajo de campo necesarios para el trabajo de campo y la capacitación</t>
  </si>
  <si>
    <r>
      <t xml:space="preserve"> Introduzca los valores del plan de encuesta MICS en la tabla de valores de entrada (requiere de datos de entrada sobre duración del trabajo de campo). Las estimaciones correspondientes de las necesidades de</t>
    </r>
    <r>
      <rPr>
        <i/>
        <strike/>
        <sz val="8"/>
        <rFont val="Arial"/>
        <family val="2"/>
      </rPr>
      <t>l</t>
    </r>
    <r>
      <rPr>
        <i/>
        <sz val="8"/>
        <rFont val="Arial"/>
        <family val="2"/>
      </rPr>
      <t xml:space="preserve"> personal de trabajo de campo y de participantes en la capacitación se mostrarán en la tabla de valores de productos.</t>
    </r>
  </si>
  <si>
    <t>Número de hogares</t>
  </si>
  <si>
    <t xml:space="preserve">Duración del trabajo de campo en días de trabajo </t>
  </si>
  <si>
    <t>Número de hogares por conglomerado</t>
  </si>
  <si>
    <t>Número total de hogares entrevistados por día</t>
  </si>
  <si>
    <r>
      <t>Duración total del trabajo de campo en días</t>
    </r>
    <r>
      <rPr>
        <i/>
        <sz val="8"/>
        <rFont val="Arial"/>
        <family val="2"/>
      </rPr>
      <t xml:space="preserve"> (producto de 'Duración del trabajo de campo')</t>
    </r>
  </si>
  <si>
    <r>
      <t xml:space="preserve">Duración del trabajo de campo en semanas
     </t>
    </r>
    <r>
      <rPr>
        <i/>
        <sz val="10"/>
        <rFont val="Arial"/>
        <family val="2"/>
      </rPr>
      <t>1 semana = 5 días de trabajo + 1 día libre y 1 día de viaje</t>
    </r>
    <r>
      <rPr>
        <i/>
        <vertAlign val="superscript"/>
        <sz val="10"/>
        <rFont val="Arial"/>
        <family val="2"/>
      </rPr>
      <t>15</t>
    </r>
  </si>
  <si>
    <r>
      <t>Número de personal de trabajo de campo requerido:</t>
    </r>
    <r>
      <rPr>
        <sz val="8"/>
        <rFont val="Arial"/>
        <family val="2"/>
      </rPr>
      <t xml:space="preserve"> (Calculado para verificar la coherencia con la hoja de cálculo 'Cálculo de la duración del trabajo de campo')</t>
    </r>
  </si>
  <si>
    <t>Número de hogares entrevistados por día por entrevistadora</t>
  </si>
  <si>
    <t>Número de entrevistadoras por equipo</t>
  </si>
  <si>
    <t>Entrevistadoras</t>
  </si>
  <si>
    <t>Medidores</t>
  </si>
  <si>
    <t>Total+10% adicional para la selección del mejor rendimiento/ reemplazo</t>
  </si>
  <si>
    <t>Personal de oficina central</t>
  </si>
  <si>
    <r>
      <t>Editores secundarios</t>
    </r>
    <r>
      <rPr>
        <vertAlign val="superscript"/>
        <sz val="10"/>
        <rFont val="Arial"/>
        <family val="2"/>
      </rPr>
      <t>16</t>
    </r>
  </si>
  <si>
    <r>
      <t>Personal de monitoreo</t>
    </r>
    <r>
      <rPr>
        <vertAlign val="superscript"/>
        <sz val="10"/>
        <rFont val="Arial"/>
        <family val="2"/>
      </rPr>
      <t>17</t>
    </r>
  </si>
  <si>
    <t>10% adicional para la selección del mejor rendimiento/ reemplazo</t>
  </si>
  <si>
    <t>Editores secundarios</t>
  </si>
  <si>
    <t>Personal de monitoreo</t>
  </si>
  <si>
    <r>
      <rPr>
        <vertAlign val="superscript"/>
        <sz val="8"/>
        <rFont val="Arial"/>
        <family val="2"/>
      </rPr>
      <t>15</t>
    </r>
    <r>
      <rPr>
        <sz val="8"/>
        <rFont val="Arial"/>
        <family val="2"/>
      </rPr>
      <t xml:space="preserve"> Los equipos de trabajo de campo requieren disponer de un día libre a la semana. Además, se asume un día de viaje (neto) por semana sobre la base de que un equipo cubre normalmente una serie de conglomerados desde una ubicación base cambiante, viaja entre conglomerados todos los días y cambia de base aproximadamente una vez a la semana. En el caso de que el movimiento del equipo siga un patrón diferente; es decir, sin tales ubicaciones base, deberá incrementarse el número de días de viaje. Este sería el caso si hubiera distancias largas entre los conglomerados.</t>
    </r>
  </si>
  <si>
    <r>
      <t>Total de capacitación</t>
    </r>
    <r>
      <rPr>
        <b/>
        <vertAlign val="superscript"/>
        <sz val="10"/>
        <rFont val="Arial"/>
        <family val="2"/>
      </rPr>
      <t>18</t>
    </r>
    <r>
      <rPr>
        <b/>
        <sz val="10"/>
        <rFont val="Arial"/>
        <family val="2"/>
      </rPr>
      <t xml:space="preserve"> para el trabajo de campo</t>
    </r>
  </si>
  <si>
    <r>
      <rPr>
        <vertAlign val="superscript"/>
        <sz val="8"/>
        <rFont val="Arial"/>
        <family val="2"/>
      </rPr>
      <t>18</t>
    </r>
    <r>
      <rPr>
        <sz val="8"/>
        <rFont val="Arial"/>
        <family val="2"/>
      </rPr>
      <t xml:space="preserve"> Las instalaciones de capacitación deberán incluir 1 sala grande para las sesiones plenarias y aulas más pequeñas para sesiones pequeñas e interactivas para 30-40 participantes por sala, si la capacidad y el número de instructores/facilitadores permiten sesiones simultáneas. Un mayor número de alumnos por sala podría reducir la calidad de la capacitación. Debe planificarse un espacio separado para la formación de los medidores de antropometría</t>
    </r>
    <r>
      <rPr>
        <b/>
        <sz val="8"/>
        <rFont val="Arial"/>
        <family val="2"/>
      </rPr>
      <t>/prueba de calidad de agua</t>
    </r>
    <r>
      <rPr>
        <sz val="8"/>
        <rFont val="Arial"/>
        <family val="2"/>
      </rPr>
      <t>, teniendo en cuenta el espacio necesario para el equipo y el número de medidas.</t>
    </r>
  </si>
  <si>
    <r>
      <rPr>
        <vertAlign val="superscript"/>
        <sz val="8"/>
        <rFont val="Arial"/>
        <family val="2"/>
      </rPr>
      <t xml:space="preserve">16 </t>
    </r>
    <r>
      <rPr>
        <sz val="8"/>
        <rFont val="Arial"/>
        <family val="2"/>
      </rPr>
      <t>MICS recomienda que el personal de procesamiento de datos esté familiarizado también con los cuestionarios durante la capacitación principal de trabajo de campo. Los editores secundarios deberán ser incluidos en el número total de la capacitación principal de trabajo de campo.</t>
    </r>
  </si>
  <si>
    <r>
      <rPr>
        <vertAlign val="superscript"/>
        <sz val="8"/>
        <rFont val="Arial"/>
        <family val="2"/>
      </rPr>
      <t>17</t>
    </r>
    <r>
      <rPr>
        <sz val="8"/>
        <rFont val="Arial"/>
        <family val="2"/>
      </rPr>
      <t xml:space="preserve"> La composición del equipo o equipos de seguimiento debe decidirse en la fase de planificación de la encuesta. Los miembros del equipo que no pertenezcan al equipo MICS de la ONE/UNICEF deben asistir a la primera parte de la formación (parte de metodología y, preferiblemente, toda la formación). Debe organizarse una sesión aparte para los equipos de seguimiento. </t>
    </r>
  </si>
  <si>
    <t>Plantilla para el cálculo de las necesidades de suministro</t>
  </si>
  <si>
    <t>No se requiere valor de entrada</t>
  </si>
  <si>
    <r>
      <t xml:space="preserve">OUTPUT VALUES </t>
    </r>
    <r>
      <rPr>
        <i/>
        <sz val="10"/>
        <rFont val="Arial"/>
        <family val="2"/>
      </rPr>
      <t>- Optional supplies</t>
    </r>
  </si>
  <si>
    <t>Parameter</t>
  </si>
  <si>
    <t>Value</t>
  </si>
  <si>
    <r>
      <t>Tableros de Medición</t>
    </r>
    <r>
      <rPr>
        <vertAlign val="superscript"/>
        <sz val="10"/>
        <rFont val="Arial"/>
        <family val="2"/>
      </rPr>
      <t>18</t>
    </r>
  </si>
  <si>
    <r>
      <t>Tabletas PC</t>
    </r>
    <r>
      <rPr>
        <u/>
        <vertAlign val="superscript"/>
        <sz val="10"/>
        <rFont val="Arial"/>
        <family val="2"/>
      </rPr>
      <t>21</t>
    </r>
    <r>
      <rPr>
        <u/>
        <sz val="10"/>
        <rFont val="Arial"/>
        <family val="2"/>
      </rPr>
      <t xml:space="preserve"> para listado - veáse hoja adicional</t>
    </r>
  </si>
  <si>
    <r>
      <t>Básculas</t>
    </r>
    <r>
      <rPr>
        <vertAlign val="superscript"/>
        <sz val="10"/>
        <rFont val="Arial"/>
        <family val="2"/>
      </rPr>
      <t>18</t>
    </r>
  </si>
  <si>
    <t>Unidades GPS - Véase hoja adicional</t>
  </si>
  <si>
    <r>
      <t>Tabletas PC</t>
    </r>
    <r>
      <rPr>
        <vertAlign val="superscript"/>
        <sz val="10"/>
        <rFont val="Arial"/>
        <family val="2"/>
      </rPr>
      <t>19</t>
    </r>
    <r>
      <rPr>
        <sz val="10"/>
        <rFont val="Arial"/>
        <family val="2"/>
      </rPr>
      <t xml:space="preserve"> - veáse hoja adicional</t>
    </r>
  </si>
  <si>
    <r>
      <rPr>
        <vertAlign val="superscript"/>
        <sz val="8"/>
        <rFont val="Arial"/>
        <family val="2"/>
      </rPr>
      <t>21</t>
    </r>
    <r>
      <rPr>
        <sz val="8"/>
        <rFont val="Arial"/>
        <family val="2"/>
      </rPr>
      <t xml:space="preserve"> Una tableta por cada listador. El número incluye el 10% del número total de tabletas de reserva. En caso de que se utilice el listado CAPI. En función de la planificación del listado y de la fecha de inicio de la capacitación principal, no es necesario equipo adicional para el listado.</t>
    </r>
  </si>
  <si>
    <r>
      <t>Equipamiento para la prueba de calidad de agua</t>
    </r>
    <r>
      <rPr>
        <vertAlign val="superscript"/>
        <sz val="10"/>
        <rFont val="Arial"/>
        <family val="2"/>
      </rPr>
      <t>20</t>
    </r>
    <r>
      <rPr>
        <sz val="10"/>
        <rFont val="Arial"/>
        <family val="2"/>
      </rPr>
      <t xml:space="preserve"> - Véase hoja adicional</t>
    </r>
  </si>
  <si>
    <r>
      <rPr>
        <vertAlign val="superscript"/>
        <sz val="8"/>
        <rFont val="Arial"/>
        <family val="2"/>
      </rPr>
      <t>18</t>
    </r>
    <r>
      <rPr>
        <sz val="8"/>
        <rFont val="Arial"/>
        <family val="2"/>
      </rPr>
      <t xml:space="preserve"> La cantidad de tableros de medición y básculas se calcula como 2 por equipo (una de respaldo). La cantidad de copias de seguridad se puede reducir si los equipos tienen fácil acceso a los reemplazos desde una ubicación central. También se recomienda usar un desinfectante de manos y un agente de limpieza suave para mediciones y equipos antropométricos.</t>
    </r>
  </si>
  <si>
    <r>
      <rPr>
        <vertAlign val="superscript"/>
        <sz val="8"/>
        <rFont val="Arial"/>
        <family val="2"/>
      </rPr>
      <t>19</t>
    </r>
    <r>
      <rPr>
        <sz val="8"/>
        <rFont val="Arial"/>
        <family val="2"/>
      </rPr>
      <t xml:space="preserve"> Una tableta por supervisor y entrevistador más una adicional por equipo. Se recomienda una tableta extra (adicional) por equipo si el número de entrevistadores por equipo es superior a 4. El número incluye 5 tabletas adicionales para los administradores de la encuesta</t>
    </r>
    <r>
      <rPr>
        <strike/>
        <sz val="8"/>
        <rFont val="Arial"/>
        <family val="2"/>
      </rPr>
      <t>s</t>
    </r>
    <r>
      <rPr>
        <sz val="8"/>
        <rFont val="Arial"/>
        <family val="2"/>
      </rPr>
      <t xml:space="preserve"> y personal de monitoreo.</t>
    </r>
  </si>
  <si>
    <r>
      <rPr>
        <vertAlign val="superscript"/>
        <sz val="8"/>
        <rFont val="Arial"/>
        <family val="2"/>
      </rPr>
      <t>20</t>
    </r>
    <r>
      <rPr>
        <sz val="8"/>
        <rFont val="Arial"/>
        <family val="2"/>
      </rPr>
      <t xml:space="preserve"> Ver detalles en hoja de cálculo aparte. </t>
    </r>
  </si>
  <si>
    <t>Plantilla para calcular los accesorios de la tableta</t>
  </si>
  <si>
    <t>Tabletas PC</t>
  </si>
  <si>
    <t>Fundas para tabletas</t>
  </si>
  <si>
    <t>Protectores de pantalla para tabletas</t>
  </si>
  <si>
    <t>Tarjetas SD</t>
  </si>
  <si>
    <r>
      <t>Bancos de energía portátiles</t>
    </r>
    <r>
      <rPr>
        <vertAlign val="superscript"/>
        <sz val="10"/>
        <rFont val="Arial"/>
        <family val="2"/>
      </rPr>
      <t>22</t>
    </r>
  </si>
  <si>
    <r>
      <t>Lápiz táctil</t>
    </r>
    <r>
      <rPr>
        <vertAlign val="superscript"/>
        <sz val="10"/>
        <rFont val="Arial"/>
        <family val="2"/>
      </rPr>
      <t>23</t>
    </r>
  </si>
  <si>
    <r>
      <t>Cargador para vehículo</t>
    </r>
    <r>
      <rPr>
        <vertAlign val="superscript"/>
        <sz val="10"/>
        <rFont val="Arial"/>
        <family val="2"/>
      </rPr>
      <t>24</t>
    </r>
  </si>
  <si>
    <r>
      <rPr>
        <vertAlign val="superscript"/>
        <sz val="8"/>
        <rFont val="Arial"/>
        <family val="2"/>
      </rPr>
      <t xml:space="preserve">22 </t>
    </r>
    <r>
      <rPr>
        <sz val="8"/>
        <rFont val="Arial"/>
        <family val="2"/>
      </rPr>
      <t>Dos Bancos de energía portátiles: una debería poder cargar completamente dos tabletas</t>
    </r>
  </si>
  <si>
    <r>
      <rPr>
        <vertAlign val="superscript"/>
        <sz val="8"/>
        <rFont val="Arial"/>
        <family val="2"/>
      </rPr>
      <t xml:space="preserve">23 </t>
    </r>
    <r>
      <rPr>
        <sz val="8"/>
        <rFont val="Arial"/>
        <family val="2"/>
      </rPr>
      <t>Un lápiz táctil por tableta + dos adicionales por equipo. Tenga en cuenta que algunas tabletas incluyen lápiz táctil.</t>
    </r>
  </si>
  <si>
    <r>
      <rPr>
        <vertAlign val="superscript"/>
        <sz val="8"/>
        <rFont val="Arial"/>
        <family val="2"/>
      </rPr>
      <t xml:space="preserve">24 </t>
    </r>
    <r>
      <rPr>
        <sz val="8"/>
        <rFont val="Arial"/>
        <family val="2"/>
      </rPr>
      <t>Un cargador para vehículo por equipo</t>
    </r>
  </si>
  <si>
    <t>Plantilla para calcular los suministros de los temas opcionales</t>
  </si>
  <si>
    <r>
      <t>VALORES DE PRODUCTO</t>
    </r>
    <r>
      <rPr>
        <i/>
        <sz val="10"/>
        <rFont val="Arial"/>
        <family val="2"/>
      </rPr>
      <t xml:space="preserve"> CAPI Listado</t>
    </r>
    <r>
      <rPr>
        <vertAlign val="superscript"/>
        <sz val="10"/>
        <rFont val="Arial"/>
        <family val="2"/>
      </rPr>
      <t>27</t>
    </r>
  </si>
  <si>
    <r>
      <t>VALORES DE PRODUCTO</t>
    </r>
    <r>
      <rPr>
        <i/>
        <sz val="10"/>
        <rFont val="Arial"/>
        <family val="2"/>
        <charset val="204"/>
      </rPr>
      <t xml:space="preserve"> GIS</t>
    </r>
  </si>
  <si>
    <r>
      <t>Receptor GPS (dispositivo Garming)</t>
    </r>
    <r>
      <rPr>
        <vertAlign val="superscript"/>
        <sz val="10"/>
        <color rgb="FF000000"/>
        <rFont val="Arial"/>
        <family val="2"/>
        <charset val="204"/>
      </rPr>
      <t>31</t>
    </r>
  </si>
  <si>
    <t>(1 per team + dos (2) extra para respaldo)</t>
  </si>
  <si>
    <t>Paquete de ocho (8) pilas AA (alcalinas) por unidad GPS</t>
  </si>
  <si>
    <r>
      <t>Un (1) cable estándar de USB a Micro-USB por unidad GPS para descargar datos de los receptores GPS</t>
    </r>
    <r>
      <rPr>
        <vertAlign val="superscript"/>
        <sz val="10"/>
        <color rgb="FF000000"/>
        <rFont val="Arial"/>
        <family val="2"/>
        <charset val="204"/>
      </rPr>
      <t>32</t>
    </r>
  </si>
  <si>
    <t>Una (1) tarjeta MicroSD por unidad GPS (opcional)</t>
  </si>
  <si>
    <r>
      <t>Bancos de energía portátiles</t>
    </r>
    <r>
      <rPr>
        <vertAlign val="superscript"/>
        <sz val="10"/>
        <rFont val="Arial"/>
        <family val="2"/>
      </rPr>
      <t>28</t>
    </r>
  </si>
  <si>
    <r>
      <rPr>
        <vertAlign val="superscript"/>
        <sz val="8"/>
        <color rgb="FF000000"/>
        <rFont val="Arial"/>
        <family val="2"/>
        <charset val="204"/>
      </rPr>
      <t>31</t>
    </r>
    <r>
      <rPr>
        <sz val="8"/>
        <color rgb="FF000000"/>
        <rFont val="Arial"/>
        <family val="2"/>
        <charset val="204"/>
      </rPr>
      <t xml:space="preserve"> La validación de los datos GPS existentes puede ser posible sin unidades autónomas. Para conocer las distintas opciones y orientaciones, consulte las Instrucciones para la adquisición de suministros de MICS7, disponibles aquí: http://mics.unicef.org/tools#survey-design</t>
    </r>
  </si>
  <si>
    <r>
      <t>Lápiz táctil</t>
    </r>
    <r>
      <rPr>
        <vertAlign val="superscript"/>
        <sz val="10"/>
        <rFont val="Arial"/>
        <family val="2"/>
      </rPr>
      <t>29</t>
    </r>
  </si>
  <si>
    <r>
      <t>Cargador para vehículo</t>
    </r>
    <r>
      <rPr>
        <vertAlign val="superscript"/>
        <sz val="10"/>
        <rFont val="Arial"/>
        <family val="2"/>
      </rPr>
      <t>30</t>
    </r>
  </si>
  <si>
    <r>
      <rPr>
        <vertAlign val="superscript"/>
        <sz val="8"/>
        <color rgb="FF000000"/>
        <rFont val="Arial"/>
        <family val="2"/>
        <charset val="204"/>
      </rPr>
      <t>32</t>
    </r>
    <r>
      <rPr>
        <sz val="8"/>
        <color rgb="FF000000"/>
        <rFont val="Arial"/>
        <family val="2"/>
        <charset val="204"/>
      </rPr>
      <t xml:space="preserve"> Normalmente se suministra un cable con el receptor GPS</t>
    </r>
  </si>
  <si>
    <r>
      <rPr>
        <vertAlign val="superscript"/>
        <sz val="8"/>
        <rFont val="Arial"/>
        <family val="2"/>
      </rPr>
      <t>27</t>
    </r>
    <r>
      <rPr>
        <sz val="8"/>
        <rFont val="Arial"/>
        <family val="2"/>
      </rPr>
      <t xml:space="preserve"> En caso de que se utilice el listado CAPI. En función de la planificación del listado y de la fecha de inicio de la capacitación principal, no es necesario ningún equipo adicional para el listado. Debe planificarse una tableta por listador. El número incluye un 10% del número total de tabletas para copias de seguridad. Para los países en los que se vayan a utilizar mapas digitales, comente las necesidades de suministro con el equipo de procesamiento de datos.</t>
    </r>
  </si>
  <si>
    <r>
      <rPr>
        <vertAlign val="superscript"/>
        <sz val="8"/>
        <rFont val="Arial"/>
        <family val="2"/>
      </rPr>
      <t xml:space="preserve">28 </t>
    </r>
    <r>
      <rPr>
        <sz val="8"/>
        <rFont val="Arial"/>
        <family val="2"/>
      </rPr>
      <t>Dos bancos de energía portátiles: una debería poder cargar completamente dos tabletas</t>
    </r>
  </si>
  <si>
    <r>
      <rPr>
        <vertAlign val="superscript"/>
        <sz val="8"/>
        <rFont val="Arial"/>
        <family val="2"/>
      </rPr>
      <t xml:space="preserve">29 </t>
    </r>
    <r>
      <rPr>
        <sz val="8"/>
        <rFont val="Arial"/>
        <family val="2"/>
      </rPr>
      <t>Un  lápiz táctil por tableta + dos adicionales por equipo. Tenga en cuenta que algunas tabletas incluyen lápiz táctil.</t>
    </r>
  </si>
  <si>
    <r>
      <rPr>
        <vertAlign val="superscript"/>
        <sz val="8"/>
        <rFont val="Arial"/>
        <family val="2"/>
      </rPr>
      <t xml:space="preserve">30 </t>
    </r>
    <r>
      <rPr>
        <sz val="8"/>
        <rFont val="Arial"/>
        <family val="2"/>
      </rPr>
      <t>Un cargador para vehículo por equipo</t>
    </r>
  </si>
  <si>
    <t>Plantilla para el cálculo de las necesidades de suministros de pruebas de la calidad del agua</t>
  </si>
  <si>
    <t xml:space="preserve"> Introduzca valores del plan de encuesta MICS en la tabla de valores de entrada (requiere de datos de entrada adicionales en la hoja de cálculo 'Duración Trabajo de Campo'). Confirme también los valores en rojo en la tabla de valores de salida. Las estimaciones correspondientes de los suministros necesarios para la prueba de la calidad del agua se mostrarán en la tabla de valores de productos.</t>
  </si>
  <si>
    <t>VALORES DE ENTRADA LEÍDOS DESDE LA HOJA DE CÁLCULO 'Duración Trabajo de Campo'</t>
  </si>
  <si>
    <t>Total de unidades</t>
  </si>
  <si>
    <t>Por equipo</t>
  </si>
  <si>
    <r>
      <t>Costo/paquete</t>
    </r>
    <r>
      <rPr>
        <vertAlign val="superscript"/>
        <sz val="10"/>
        <rFont val="Arial"/>
        <family val="2"/>
      </rPr>
      <t>25</t>
    </r>
  </si>
  <si>
    <t>Unidades/paquete</t>
  </si>
  <si>
    <t>Paquetes necesarios</t>
  </si>
  <si>
    <t>Costo Tootal</t>
  </si>
  <si>
    <t>Hardware</t>
  </si>
  <si>
    <t>- se agrega un 10% adicional al Total de unidades para necesidades de reemplazo</t>
  </si>
  <si>
    <t>Número de equipos de trabajo de campo</t>
  </si>
  <si>
    <t>Colector</t>
  </si>
  <si>
    <t>unidad</t>
  </si>
  <si>
    <t>Cinturón de incubación</t>
  </si>
  <si>
    <t>Jeringas reusables, 100 mL</t>
  </si>
  <si>
    <t>por caja</t>
  </si>
  <si>
    <t>Fórceps de metal</t>
  </si>
  <si>
    <t>Subtotal Hardware</t>
  </si>
  <si>
    <t>Consumibles</t>
  </si>
  <si>
    <t>Número de muestras de calidad del agua del hogar por conglomerado</t>
  </si>
  <si>
    <t>- se agrega un 25% adicional al Total de unidades para capacitación y pérdidas</t>
  </si>
  <si>
    <t>Embudo y membrana</t>
  </si>
  <si>
    <t>Número de muestras de calidad del agua de la fuente por conglomerado</t>
  </si>
  <si>
    <t>Placa Nissui CompactDry ECO</t>
  </si>
  <si>
    <t>Jeringas estériles desechables, 1 mL</t>
  </si>
  <si>
    <t>Número de ensayos en blanco por conglomerado</t>
  </si>
  <si>
    <t>Toallitas con alcohol</t>
  </si>
  <si>
    <t>Bolsas para la toma de muestras WhirlPak</t>
  </si>
  <si>
    <t>Tabletas de cloro 8.5 mg</t>
  </si>
  <si>
    <t>Subtotal Consumibles</t>
  </si>
  <si>
    <r>
      <rPr>
        <b/>
        <sz val="10"/>
        <rFont val="Arial"/>
        <family val="2"/>
      </rPr>
      <t>Flete</t>
    </r>
    <r>
      <rPr>
        <sz val="10"/>
        <rFont val="Arial"/>
        <family val="2"/>
      </rPr>
      <t xml:space="preserve"> (Aprox.10%)</t>
    </r>
  </si>
  <si>
    <t>Adicionales o hardware</t>
  </si>
  <si>
    <t>Consumibles adicionales</t>
  </si>
  <si>
    <t>(póngase en contacto con WASH si planea otros ToT)</t>
  </si>
  <si>
    <r>
      <rPr>
        <vertAlign val="superscript"/>
        <sz val="8"/>
        <rFont val="Arial"/>
        <family val="2"/>
      </rPr>
      <t>25</t>
    </r>
    <r>
      <rPr>
        <sz val="8"/>
        <rFont val="Arial"/>
        <family val="2"/>
      </rPr>
      <t xml:space="preserve"> Tenga en cuenta que los valores de costo/paquete deben actualizarse para obtener una mejor estimación. Con fluctuaciones en las tasas de EUR/USD, seguramente habrá cambios significativos. El precio actual puede consultarse en el catálogo de suministros de UNICEF, utilizando los números de los artículos que se proporcionan en las Instrucciones para la adquisición de suministros de MICS7, disponibles aquí http://mics.unicef.org/tools#survey-design</t>
    </r>
  </si>
  <si>
    <t>Total (USD):</t>
  </si>
  <si>
    <t>Adicional para artículos adicionales</t>
  </si>
  <si>
    <t>Unidades por equipo</t>
  </si>
  <si>
    <r>
      <t>Costo/paquete</t>
    </r>
    <r>
      <rPr>
        <vertAlign val="superscript"/>
        <sz val="10"/>
        <rFont val="Arial"/>
        <family val="2"/>
      </rPr>
      <t>26</t>
    </r>
  </si>
  <si>
    <t>Unidades/paquetes</t>
  </si>
  <si>
    <t>Artículos adicionales</t>
  </si>
  <si>
    <r>
      <t xml:space="preserve">- se agrega un 10% adicional al </t>
    </r>
    <r>
      <rPr>
        <i/>
        <strike/>
        <sz val="10"/>
        <rFont val="Arial"/>
        <family val="2"/>
      </rPr>
      <t>Valor</t>
    </r>
    <r>
      <rPr>
        <i/>
        <sz val="10"/>
        <rFont val="Arial"/>
        <family val="2"/>
      </rPr>
      <t xml:space="preserve"> Total de unidades para capacitación y pérdidas</t>
    </r>
  </si>
  <si>
    <t>Desinfectante de manos (5/equipo)</t>
  </si>
  <si>
    <t>botella de 250 ml</t>
  </si>
  <si>
    <t>Bolsas de basura (1/conglomerado)</t>
  </si>
  <si>
    <t>rollo</t>
  </si>
  <si>
    <t>Bolsas de basura (3/equipo)</t>
  </si>
  <si>
    <t>paquete</t>
  </si>
  <si>
    <t>Bolsa de prueba para medidor (1/team)</t>
  </si>
  <si>
    <t>bolsa</t>
  </si>
  <si>
    <t>Toallas de papel de cocina (12/equipo)</t>
  </si>
  <si>
    <t>rollo of 100</t>
  </si>
  <si>
    <t>Agua embotellada para la prueba en blanco (1/conglomerado)</t>
  </si>
  <si>
    <t>Bolsa de almacenamiento para consumibles (2/conglomerado)</t>
  </si>
  <si>
    <t>Bolsas Ziploc (5/equipo</t>
  </si>
  <si>
    <t>Artículos adicionales sub-total</t>
  </si>
  <si>
    <t>Flete (Aprox.10%)</t>
  </si>
  <si>
    <r>
      <rPr>
        <vertAlign val="superscript"/>
        <sz val="8"/>
        <rFont val="Arial"/>
        <family val="2"/>
      </rPr>
      <t xml:space="preserve">26 </t>
    </r>
    <r>
      <rPr>
        <sz val="8"/>
        <rFont val="Arial"/>
        <family val="2"/>
      </rPr>
      <t xml:space="preserve">Artículos que en su mayoría pueden adquirirse localmente por que los valores de costo/paquete deben actualizarse para obtener una mejor estimación, a excepción de la Bolsa de prueba para medidor (1/team) y la Bolsa de almacenamiento para consumibles (2/conglomerado) que es mejor adquirir en la División de Suministros de UNICEF. </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</si>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</sst>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0.00_);_(&quot;$&quot;* \(#,##0.00\);_(&quot;$&quot;* &quot;-&quot;??_);_(@_)"/>
    <numFmt numFmtId="166" formatCode="_(* #,##0.00_);_(* \(#,##0.00\);_(* &quot;-&quot;??_);_(@_)"/>
    <numFmt numFmtId="167" formatCode="dd/mm/yyyy;@"/>
    <numFmt numFmtId="168" formatCode="_(* #,##0_);_(* \(#,##0\);_(* &quot;-&quot;??_);_(@_)"/>
    <numFmt numFmtId="169" formatCode="[$-409]d/mmm/yyyy;@"/>
  </numFmts>
  <fonts count="4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i/>
      <vertAlign val="superscript"/>
      <sz val="10"/>
      <name val="Arial"/>
      <family val="2"/>
    </font>
    <font>
      <i/>
      <sz val="8"/>
      <name val="Arial"/>
      <family val="2"/>
      <charset val="238"/>
    </font>
    <font>
      <sz val="10"/>
      <name val="Arial"/>
      <family val="2"/>
      <charset val="238"/>
    </font>
    <font>
      <i/>
      <sz val="9"/>
      <name val="Arial"/>
      <family val="2"/>
    </font>
    <font>
      <sz val="10"/>
      <color rgb="FFFF0000"/>
      <name val="Arial"/>
      <family val="2"/>
    </font>
    <font>
      <i/>
      <vertAlign val="superscript"/>
      <sz val="8"/>
      <name val="Arial"/>
      <family val="2"/>
    </font>
    <font>
      <i/>
      <vertAlign val="superscript"/>
      <sz val="9"/>
      <name val="Arial"/>
      <family val="2"/>
    </font>
    <font>
      <sz val="10"/>
      <name val="Arial"/>
    </font>
    <font>
      <i/>
      <strike/>
      <sz val="8"/>
      <name val="Arial"/>
      <family val="2"/>
    </font>
    <font>
      <i/>
      <strike/>
      <sz val="10"/>
      <name val="Arial"/>
      <family val="2"/>
    </font>
    <font>
      <sz val="9"/>
      <color indexed="81"/>
      <name val="Tahoma"/>
      <family val="2"/>
    </font>
    <font>
      <strike/>
      <sz val="8"/>
      <name val="Arial"/>
      <family val="2"/>
    </font>
    <font>
      <sz val="8"/>
      <color rgb="FFFF0000"/>
      <name val="Arial"/>
      <family val="2"/>
    </font>
    <font>
      <b/>
      <sz val="9"/>
      <color indexed="81"/>
      <name val="Tahoma"/>
      <family val="2"/>
    </font>
    <font>
      <i/>
      <sz val="10"/>
      <name val="Arial"/>
      <family val="2"/>
      <charset val="204"/>
    </font>
    <font>
      <u/>
      <sz val="10"/>
      <color theme="10"/>
      <name val="Arial"/>
      <family val="2"/>
    </font>
    <font>
      <sz val="10"/>
      <name val="Arial"/>
      <family val="2"/>
      <charset val="204"/>
    </font>
    <font>
      <sz val="10"/>
      <color rgb="FFFF0000"/>
      <name val="Arial"/>
      <family val="2"/>
      <charset val="204"/>
    </font>
    <font>
      <sz val="10"/>
      <color rgb="FF000000"/>
      <name val="Arial"/>
      <family val="2"/>
      <charset val="204"/>
    </font>
    <font>
      <vertAlign val="superscript"/>
      <sz val="10"/>
      <color rgb="FF000000"/>
      <name val="Arial"/>
      <family val="2"/>
      <charset val="204"/>
    </font>
    <font>
      <sz val="8"/>
      <color rgb="FF000000"/>
      <name val="Arial"/>
      <family val="2"/>
      <charset val="204"/>
    </font>
    <font>
      <vertAlign val="superscript"/>
      <sz val="8"/>
      <color rgb="FF000000"/>
      <name val="Arial"/>
      <family val="2"/>
      <charset val="204"/>
    </font>
    <font>
      <sz val="8"/>
      <name val="Arial"/>
      <family val="2"/>
      <charset val="204"/>
    </font>
    <font>
      <b/>
      <sz val="8"/>
      <name val="Arial"/>
      <family val="2"/>
    </font>
    <font>
      <u/>
      <sz val="10"/>
      <name val="Arial"/>
      <family val="2"/>
    </font>
    <font>
      <u/>
      <vertAlign val="superscript"/>
      <sz val="10"/>
      <name val="Arial"/>
      <family val="2"/>
    </font>
    <font>
      <sz val="11"/>
      <name val="Calibri"/>
      <family val="2"/>
      <scheme val="minor"/>
    </font>
    <font>
      <b/>
      <sz val="10"/>
      <name val="Arial"/>
      <family val="2"/>
      <charset val="204"/>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s>
  <cellStyleXfs count="10">
    <xf numFmtId="0" fontId="0" fillId="0" borderId="0"/>
    <xf numFmtId="0" fontId="3" fillId="0" borderId="0"/>
    <xf numFmtId="0" fontId="2" fillId="0" borderId="0"/>
    <xf numFmtId="166" fontId="2"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0" fontId="1" fillId="0" borderId="0"/>
    <xf numFmtId="9" fontId="20" fillId="0" borderId="0" applyFont="0" applyFill="0" applyBorder="0" applyAlignment="0" applyProtection="0"/>
    <xf numFmtId="0" fontId="28" fillId="0" borderId="0" applyNumberFormat="0" applyFill="0" applyBorder="0" applyAlignment="0" applyProtection="0"/>
  </cellStyleXfs>
  <cellXfs count="301">
    <xf numFmtId="0" fontId="0" fillId="0" borderId="0" xfId="0"/>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 fillId="0" borderId="2" xfId="0" applyFont="1" applyBorder="1"/>
    <xf numFmtId="1" fontId="0" fillId="0" borderId="0" xfId="0" applyNumberFormat="1"/>
    <xf numFmtId="0" fontId="3" fillId="0" borderId="1" xfId="0" applyFont="1" applyBorder="1" applyAlignment="1">
      <alignment horizontal="right"/>
    </xf>
    <xf numFmtId="0" fontId="3" fillId="0" borderId="2" xfId="0" applyFont="1" applyBorder="1" applyAlignment="1">
      <alignment horizontal="right"/>
    </xf>
    <xf numFmtId="0" fontId="0" fillId="0" borderId="2" xfId="0" applyBorder="1" applyAlignment="1">
      <alignment horizontal="right"/>
    </xf>
    <xf numFmtId="0" fontId="4" fillId="0" borderId="3"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wrapText="1"/>
    </xf>
    <xf numFmtId="0" fontId="4" fillId="0" borderId="2" xfId="0" applyFont="1" applyBorder="1" applyAlignment="1">
      <alignment horizontal="left"/>
    </xf>
    <xf numFmtId="0" fontId="4" fillId="0" borderId="2" xfId="0" applyFont="1" applyBorder="1"/>
    <xf numFmtId="1" fontId="0" fillId="2" borderId="2" xfId="0" applyNumberFormat="1" applyFill="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5" fillId="0" borderId="4" xfId="0" applyFont="1" applyBorder="1" applyAlignment="1">
      <alignment horizontal="right"/>
    </xf>
    <xf numFmtId="0" fontId="3" fillId="0" borderId="2" xfId="0" applyFont="1" applyBorder="1" applyAlignment="1">
      <alignment horizontal="left"/>
    </xf>
    <xf numFmtId="0" fontId="4" fillId="0" borderId="4" xfId="0" applyFont="1" applyBorder="1" applyAlignment="1">
      <alignment horizontal="right"/>
    </xf>
    <xf numFmtId="0" fontId="5" fillId="0" borderId="2" xfId="0" applyFont="1" applyBorder="1" applyAlignment="1">
      <alignment horizontal="right"/>
    </xf>
    <xf numFmtId="3" fontId="0" fillId="2" borderId="2" xfId="0" applyNumberFormat="1" applyFill="1" applyBorder="1" applyAlignment="1">
      <alignment horizontal="center"/>
    </xf>
    <xf numFmtId="0" fontId="3" fillId="0" borderId="3" xfId="0" applyFont="1" applyBorder="1" applyAlignment="1">
      <alignment horizontal="right"/>
    </xf>
    <xf numFmtId="0" fontId="0" fillId="3" borderId="2" xfId="0" applyFill="1" applyBorder="1" applyAlignment="1">
      <alignment horizontal="center"/>
    </xf>
    <xf numFmtId="1" fontId="5" fillId="4" borderId="2" xfId="0" applyNumberFormat="1" applyFont="1" applyFill="1" applyBorder="1" applyAlignment="1" applyProtection="1">
      <alignment horizontal="center"/>
      <protection locked="0"/>
    </xf>
    <xf numFmtId="0" fontId="0" fillId="0" borderId="1" xfId="0" applyBorder="1"/>
    <xf numFmtId="0" fontId="0" fillId="0" borderId="7" xfId="0" applyBorder="1" applyAlignment="1">
      <alignment horizontal="center"/>
    </xf>
    <xf numFmtId="0" fontId="0" fillId="0" borderId="15" xfId="0" applyBorder="1"/>
    <xf numFmtId="0" fontId="3" fillId="0" borderId="1" xfId="0" applyFont="1" applyBorder="1" applyAlignment="1">
      <alignment horizontal="left"/>
    </xf>
    <xf numFmtId="0" fontId="3" fillId="0" borderId="5" xfId="0" applyFont="1" applyBorder="1"/>
    <xf numFmtId="0" fontId="0" fillId="0" borderId="6" xfId="0" applyBorder="1" applyAlignment="1">
      <alignment horizontal="center"/>
    </xf>
    <xf numFmtId="3" fontId="5" fillId="4" borderId="7" xfId="0" applyNumberFormat="1" applyFont="1" applyFill="1" applyBorder="1" applyAlignment="1">
      <alignment horizontal="center"/>
    </xf>
    <xf numFmtId="1" fontId="5" fillId="4" borderId="7" xfId="0" applyNumberFormat="1" applyFont="1" applyFill="1" applyBorder="1" applyAlignment="1">
      <alignment horizontal="center"/>
    </xf>
    <xf numFmtId="1" fontId="4" fillId="2" borderId="3" xfId="0" applyNumberFormat="1" applyFont="1" applyFill="1" applyBorder="1" applyAlignment="1">
      <alignment horizontal="center"/>
    </xf>
    <xf numFmtId="1" fontId="5"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5" fillId="5" borderId="7" xfId="0" applyNumberFormat="1" applyFont="1" applyFill="1" applyBorder="1" applyAlignment="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3" fillId="0" borderId="2" xfId="0" applyFont="1" applyBorder="1" applyAlignment="1">
      <alignment vertical="center"/>
    </xf>
    <xf numFmtId="0" fontId="11" fillId="0" borderId="0" xfId="0" applyFont="1" applyAlignment="1">
      <alignment horizontal="left"/>
    </xf>
    <xf numFmtId="0" fontId="3" fillId="0" borderId="0" xfId="0" applyFont="1"/>
    <xf numFmtId="3" fontId="0" fillId="3" borderId="2" xfId="0" applyNumberFormat="1" applyFill="1" applyBorder="1" applyAlignment="1" applyProtection="1">
      <alignment horizontal="center" vertical="center"/>
      <protection locked="0"/>
    </xf>
    <xf numFmtId="3" fontId="0" fillId="2" borderId="2" xfId="0" applyNumberFormat="1" applyFill="1" applyBorder="1" applyAlignment="1">
      <alignment horizontal="center" vertical="center"/>
    </xf>
    <xf numFmtId="0" fontId="3" fillId="0" borderId="2" xfId="0" applyFont="1" applyBorder="1" applyAlignment="1">
      <alignment vertical="center" wrapText="1"/>
    </xf>
    <xf numFmtId="0" fontId="0" fillId="0" borderId="0" xfId="0"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1" fontId="0" fillId="0" borderId="2" xfId="0" applyNumberFormat="1" applyBorder="1" applyAlignment="1" applyProtection="1">
      <alignment horizontal="center" vertical="center"/>
      <protection locked="0"/>
    </xf>
    <xf numFmtId="167" fontId="0" fillId="2" borderId="2" xfId="0" applyNumberFormat="1" applyFill="1" applyBorder="1" applyAlignment="1">
      <alignment horizontal="center" vertical="center"/>
    </xf>
    <xf numFmtId="1" fontId="0" fillId="0" borderId="2" xfId="0" applyNumberFormat="1" applyBorder="1" applyAlignment="1">
      <alignment horizontal="center" vertical="center"/>
    </xf>
    <xf numFmtId="3" fontId="5"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1" fontId="5" fillId="4" borderId="7"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3" fillId="0" borderId="1" xfId="0" applyFont="1" applyBorder="1" applyAlignment="1">
      <alignment horizontal="right" vertical="center"/>
    </xf>
    <xf numFmtId="0" fontId="0" fillId="0" borderId="16" xfId="0" applyBorder="1" applyAlignment="1" applyProtection="1">
      <alignment horizontal="center" vertical="center"/>
      <protection locked="0"/>
    </xf>
    <xf numFmtId="1" fontId="4" fillId="2" borderId="3"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0" fontId="0" fillId="0" borderId="19" xfId="0" applyBorder="1" applyAlignment="1">
      <alignment horizontal="center"/>
    </xf>
    <xf numFmtId="0" fontId="5" fillId="0" borderId="3" xfId="0" applyFont="1" applyBorder="1" applyAlignment="1">
      <alignment vertical="center"/>
    </xf>
    <xf numFmtId="0" fontId="0" fillId="0" borderId="20" xfId="0" applyBorder="1"/>
    <xf numFmtId="0" fontId="4" fillId="0" borderId="1" xfId="0" applyFont="1" applyBorder="1" applyAlignment="1">
      <alignment horizontal="left" vertical="center"/>
    </xf>
    <xf numFmtId="0" fontId="4" fillId="0" borderId="15" xfId="0" applyFont="1" applyBorder="1" applyAlignment="1">
      <alignment horizontal="right" vertical="center"/>
    </xf>
    <xf numFmtId="3" fontId="0" fillId="0" borderId="2" xfId="0" applyNumberFormat="1" applyBorder="1" applyAlignment="1" applyProtection="1">
      <alignment horizontal="center"/>
      <protection locked="0"/>
    </xf>
    <xf numFmtId="0" fontId="3" fillId="0" borderId="3" xfId="0" applyFont="1" applyBorder="1" applyAlignment="1">
      <alignment vertical="center"/>
    </xf>
    <xf numFmtId="0" fontId="4" fillId="0" borderId="1" xfId="0" applyFont="1" applyBorder="1"/>
    <xf numFmtId="0" fontId="3" fillId="0" borderId="1" xfId="0" applyFont="1" applyBorder="1"/>
    <xf numFmtId="3" fontId="5" fillId="5" borderId="2" xfId="0" applyNumberFormat="1"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1" fontId="5" fillId="5" borderId="2" xfId="0" applyNumberFormat="1" applyFont="1" applyFill="1" applyBorder="1" applyAlignment="1" applyProtection="1">
      <alignment horizontal="center" vertical="center"/>
      <protection locked="0"/>
    </xf>
    <xf numFmtId="1" fontId="5" fillId="0" borderId="2" xfId="0" applyNumberFormat="1" applyFont="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0" fillId="0" borderId="7" xfId="0" applyNumberFormat="1" applyBorder="1" applyAlignment="1">
      <alignment horizontal="center"/>
    </xf>
    <xf numFmtId="3" fontId="0" fillId="6" borderId="7" xfId="0" applyNumberFormat="1" applyFill="1" applyBorder="1" applyAlignment="1">
      <alignment horizontal="center"/>
    </xf>
    <xf numFmtId="3" fontId="3" fillId="0" borderId="2" xfId="0" applyNumberFormat="1" applyFont="1" applyBorder="1" applyAlignment="1" applyProtection="1">
      <alignment horizontal="center"/>
      <protection locked="0"/>
    </xf>
    <xf numFmtId="3" fontId="0" fillId="0" borderId="3" xfId="0" applyNumberFormat="1" applyBorder="1" applyAlignment="1">
      <alignment horizontal="center"/>
    </xf>
    <xf numFmtId="3" fontId="0" fillId="0" borderId="16"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5" fillId="0" borderId="0" xfId="0" applyNumberFormat="1" applyFont="1"/>
    <xf numFmtId="167" fontId="3" fillId="0" borderId="2" xfId="0" applyNumberFormat="1" applyFont="1" applyBorder="1" applyAlignment="1">
      <alignment horizontal="center"/>
    </xf>
    <xf numFmtId="0" fontId="0" fillId="0" borderId="1" xfId="0" applyBorder="1" applyAlignment="1">
      <alignment horizontal="right" vertical="center"/>
    </xf>
    <xf numFmtId="0" fontId="0" fillId="0" borderId="1" xfId="0" applyBorder="1" applyAlignment="1">
      <alignment horizontal="right"/>
    </xf>
    <xf numFmtId="0" fontId="0" fillId="0" borderId="1" xfId="0" applyBorder="1" applyAlignment="1">
      <alignment horizontal="left"/>
    </xf>
    <xf numFmtId="0" fontId="3" fillId="2" borderId="5" xfId="0" applyFont="1" applyFill="1" applyBorder="1" applyAlignment="1">
      <alignment horizontal="centerContinuous"/>
    </xf>
    <xf numFmtId="0" fontId="0" fillId="2" borderId="6" xfId="0" applyFill="1" applyBorder="1" applyAlignment="1">
      <alignment horizontal="centerContinuous"/>
    </xf>
    <xf numFmtId="0" fontId="11" fillId="0" borderId="4" xfId="0" applyFont="1" applyBorder="1" applyAlignment="1">
      <alignment horizontal="right" vertical="center"/>
    </xf>
    <xf numFmtId="0" fontId="16" fillId="0" borderId="2" xfId="0" applyFont="1" applyBorder="1" applyAlignment="1">
      <alignment horizontal="right"/>
    </xf>
    <xf numFmtId="0" fontId="10" fillId="0" borderId="0" xfId="0" applyFont="1"/>
    <xf numFmtId="3" fontId="0" fillId="0" borderId="0" xfId="0" applyNumberFormat="1"/>
    <xf numFmtId="0" fontId="3" fillId="0" borderId="6" xfId="0" applyFont="1" applyBorder="1" applyAlignment="1">
      <alignment horizontal="center"/>
    </xf>
    <xf numFmtId="3" fontId="5" fillId="0" borderId="7" xfId="0" applyNumberFormat="1" applyFont="1" applyBorder="1" applyAlignment="1">
      <alignment horizontal="center"/>
    </xf>
    <xf numFmtId="4" fontId="0" fillId="0" borderId="7" xfId="0" applyNumberFormat="1" applyBorder="1" applyAlignment="1">
      <alignment horizontal="center"/>
    </xf>
    <xf numFmtId="0" fontId="0" fillId="0" borderId="19" xfId="0" applyBorder="1"/>
    <xf numFmtId="0" fontId="4" fillId="2" borderId="15" xfId="0" applyFont="1" applyFill="1" applyBorder="1" applyAlignment="1">
      <alignment horizontal="right"/>
    </xf>
    <xf numFmtId="168" fontId="4" fillId="2" borderId="16" xfId="0" applyNumberFormat="1" applyFont="1" applyFill="1" applyBorder="1"/>
    <xf numFmtId="0" fontId="10" fillId="0" borderId="0" xfId="0" applyFont="1" applyAlignment="1">
      <alignment horizontal="left"/>
    </xf>
    <xf numFmtId="2" fontId="0" fillId="0" borderId="0" xfId="0" applyNumberFormat="1"/>
    <xf numFmtId="4" fontId="0" fillId="0" borderId="0" xfId="0" applyNumberFormat="1"/>
    <xf numFmtId="0" fontId="5" fillId="0" borderId="1" xfId="0" applyFont="1" applyBorder="1"/>
    <xf numFmtId="3" fontId="5" fillId="0" borderId="2" xfId="0" applyNumberFormat="1" applyFont="1" applyBorder="1" applyAlignment="1">
      <alignment horizontal="center"/>
    </xf>
    <xf numFmtId="0" fontId="3" fillId="0" borderId="3" xfId="0" applyFont="1" applyBorder="1"/>
    <xf numFmtId="0" fontId="3" fillId="0" borderId="1" xfId="0" applyFont="1" applyBorder="1" applyAlignment="1">
      <alignment vertical="center"/>
    </xf>
    <xf numFmtId="0" fontId="4" fillId="0" borderId="1" xfId="0" applyFont="1" applyBorder="1" applyAlignment="1">
      <alignment horizontal="left"/>
    </xf>
    <xf numFmtId="0" fontId="5" fillId="0" borderId="1" xfId="0" applyFont="1" applyBorder="1" applyAlignment="1">
      <alignment horizontal="center"/>
    </xf>
    <xf numFmtId="0" fontId="3" fillId="0" borderId="2" xfId="0" applyFont="1" applyBorder="1" applyAlignment="1">
      <alignment horizontal="center"/>
    </xf>
    <xf numFmtId="0" fontId="17" fillId="0" borderId="15" xfId="0" applyFont="1" applyBorder="1"/>
    <xf numFmtId="3" fontId="17" fillId="0" borderId="3" xfId="0" applyNumberFormat="1" applyFont="1" applyBorder="1"/>
    <xf numFmtId="3" fontId="5" fillId="0" borderId="8" xfId="0" applyNumberFormat="1" applyFont="1" applyBorder="1" applyAlignment="1">
      <alignment horizontal="center"/>
    </xf>
    <xf numFmtId="3" fontId="3" fillId="2" borderId="2" xfId="0" applyNumberFormat="1" applyFont="1" applyFill="1" applyBorder="1" applyAlignment="1">
      <alignment horizontal="center"/>
    </xf>
    <xf numFmtId="3" fontId="27" fillId="0" borderId="2" xfId="0" applyNumberFormat="1" applyFont="1" applyBorder="1" applyAlignment="1">
      <alignment horizontal="center"/>
    </xf>
    <xf numFmtId="3" fontId="29" fillId="0" borderId="2" xfId="0" applyNumberFormat="1" applyFont="1" applyBorder="1" applyAlignment="1">
      <alignment horizontal="center"/>
    </xf>
    <xf numFmtId="3" fontId="29" fillId="0" borderId="0" xfId="0" applyNumberFormat="1" applyFont="1" applyAlignment="1">
      <alignment horizontal="center"/>
    </xf>
    <xf numFmtId="0" fontId="4" fillId="0" borderId="0" xfId="0" applyFont="1" applyAlignment="1">
      <alignment horizontal="right"/>
    </xf>
    <xf numFmtId="168" fontId="4" fillId="0" borderId="0" xfId="0" applyNumberFormat="1" applyFont="1"/>
    <xf numFmtId="0" fontId="3" fillId="0" borderId="20" xfId="0" applyFont="1" applyBorder="1"/>
    <xf numFmtId="3" fontId="3" fillId="6" borderId="0" xfId="0" applyNumberFormat="1" applyFont="1" applyFill="1" applyAlignment="1">
      <alignment horizontal="center"/>
    </xf>
    <xf numFmtId="0" fontId="10" fillId="0" borderId="0" xfId="1" applyFont="1" applyAlignment="1">
      <alignment horizontal="left"/>
    </xf>
    <xf numFmtId="0" fontId="3" fillId="0" borderId="0" xfId="1"/>
    <xf numFmtId="0" fontId="30" fillId="0" borderId="0" xfId="1" applyFont="1"/>
    <xf numFmtId="0" fontId="3" fillId="0" borderId="0" xfId="1" applyAlignment="1">
      <alignment horizontal="center"/>
    </xf>
    <xf numFmtId="0" fontId="29" fillId="0" borderId="4" xfId="1" applyFont="1" applyBorder="1"/>
    <xf numFmtId="0" fontId="3" fillId="0" borderId="4" xfId="1" applyBorder="1" applyAlignment="1">
      <alignment horizontal="center"/>
    </xf>
    <xf numFmtId="0" fontId="3" fillId="0" borderId="2" xfId="1" applyBorder="1"/>
    <xf numFmtId="0" fontId="3" fillId="0" borderId="8" xfId="1" applyBorder="1" applyAlignment="1">
      <alignment horizontal="center"/>
    </xf>
    <xf numFmtId="1" fontId="5" fillId="5" borderId="2" xfId="1" applyNumberFormat="1" applyFont="1" applyFill="1" applyBorder="1" applyAlignment="1">
      <alignment horizontal="center"/>
    </xf>
    <xf numFmtId="1" fontId="5" fillId="0" borderId="2" xfId="1" applyNumberFormat="1" applyFont="1" applyBorder="1" applyAlignment="1">
      <alignment horizontal="center"/>
    </xf>
    <xf numFmtId="0" fontId="5" fillId="0" borderId="2" xfId="1" applyFont="1" applyBorder="1" applyAlignment="1">
      <alignment horizontal="left" indent="2"/>
    </xf>
    <xf numFmtId="0" fontId="31" fillId="0" borderId="2" xfId="1" applyFont="1" applyBorder="1" applyAlignment="1">
      <alignment wrapText="1"/>
    </xf>
    <xf numFmtId="0" fontId="25" fillId="0" borderId="2" xfId="1" applyFont="1" applyBorder="1"/>
    <xf numFmtId="1" fontId="5" fillId="0" borderId="2" xfId="1" applyNumberFormat="1" applyFont="1" applyBorder="1" applyAlignment="1" applyProtection="1">
      <alignment horizontal="center"/>
      <protection locked="0"/>
    </xf>
    <xf numFmtId="0" fontId="3" fillId="0" borderId="3" xfId="1" applyBorder="1"/>
    <xf numFmtId="0" fontId="3" fillId="0" borderId="0" xfId="1" applyAlignment="1" applyProtection="1">
      <alignment horizontal="center"/>
      <protection locked="0"/>
    </xf>
    <xf numFmtId="0" fontId="29" fillId="0" borderId="0" xfId="1" applyFont="1"/>
    <xf numFmtId="0" fontId="3" fillId="0" borderId="4" xfId="0" applyFont="1" applyBorder="1"/>
    <xf numFmtId="0" fontId="17" fillId="0" borderId="3" xfId="1" applyFont="1" applyBorder="1"/>
    <xf numFmtId="0" fontId="17" fillId="0" borderId="3" xfId="1" applyFont="1" applyBorder="1" applyAlignment="1" applyProtection="1">
      <alignment horizontal="center"/>
      <protection locked="0"/>
    </xf>
    <xf numFmtId="0" fontId="3" fillId="0" borderId="4" xfId="1" applyBorder="1"/>
    <xf numFmtId="0" fontId="3" fillId="0" borderId="2" xfId="1" applyBorder="1" applyAlignment="1">
      <alignment horizontal="center"/>
    </xf>
    <xf numFmtId="1" fontId="5" fillId="5" borderId="2" xfId="1" applyNumberFormat="1" applyFont="1" applyFill="1" applyBorder="1" applyAlignment="1">
      <alignment horizontal="center" vertical="center"/>
    </xf>
    <xf numFmtId="1" fontId="5" fillId="0" borderId="2" xfId="1" applyNumberFormat="1" applyFont="1" applyBorder="1" applyAlignment="1">
      <alignment horizontal="center" vertical="center"/>
    </xf>
    <xf numFmtId="1" fontId="5" fillId="5" borderId="3" xfId="1" applyNumberFormat="1" applyFont="1" applyFill="1" applyBorder="1" applyAlignment="1">
      <alignment horizontal="center" vertical="center"/>
    </xf>
    <xf numFmtId="0" fontId="3" fillId="2" borderId="5" xfId="0" applyFont="1" applyFill="1" applyBorder="1" applyAlignment="1">
      <alignment horizontal="center"/>
    </xf>
    <xf numFmtId="0" fontId="3" fillId="2" borderId="21" xfId="0" applyFont="1" applyFill="1" applyBorder="1" applyAlignment="1">
      <alignment horizontal="center"/>
    </xf>
    <xf numFmtId="0" fontId="3" fillId="2" borderId="6" xfId="0" applyFont="1" applyFill="1" applyBorder="1" applyAlignment="1">
      <alignment horizontal="center"/>
    </xf>
    <xf numFmtId="3" fontId="3" fillId="3" borderId="2" xfId="0" applyNumberFormat="1"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1" fontId="3" fillId="3" borderId="2" xfId="0" applyNumberFormat="1" applyFont="1" applyFill="1" applyBorder="1" applyAlignment="1" applyProtection="1">
      <alignment horizontal="center" vertical="center"/>
      <protection locked="0"/>
    </xf>
    <xf numFmtId="1" fontId="3" fillId="0" borderId="2" xfId="0" applyNumberFormat="1" applyFont="1" applyBorder="1" applyAlignment="1" applyProtection="1">
      <alignment horizontal="center"/>
      <protection locked="0"/>
    </xf>
    <xf numFmtId="1" fontId="3" fillId="3" borderId="2" xfId="0" applyNumberFormat="1" applyFont="1" applyFill="1" applyBorder="1" applyAlignment="1" applyProtection="1">
      <alignment horizontal="center"/>
      <protection locked="0"/>
    </xf>
    <xf numFmtId="169" fontId="3" fillId="3" borderId="3" xfId="0" applyNumberFormat="1" applyFont="1" applyFill="1" applyBorder="1" applyAlignment="1" applyProtection="1">
      <alignment horizontal="center"/>
      <protection locked="0"/>
    </xf>
    <xf numFmtId="1" fontId="3" fillId="2" borderId="2" xfId="0" applyNumberFormat="1" applyFont="1" applyFill="1" applyBorder="1" applyAlignment="1">
      <alignment horizontal="center" vertical="center"/>
    </xf>
    <xf numFmtId="1" fontId="3" fillId="0" borderId="2" xfId="0" applyNumberFormat="1" applyFont="1" applyBorder="1" applyAlignment="1">
      <alignment horizontal="center"/>
    </xf>
    <xf numFmtId="1" fontId="3" fillId="2" borderId="2" xfId="0" applyNumberFormat="1" applyFont="1" applyFill="1" applyBorder="1" applyAlignment="1">
      <alignment horizontal="center"/>
    </xf>
    <xf numFmtId="0" fontId="3" fillId="0" borderId="15" xfId="0" applyFont="1" applyBorder="1"/>
    <xf numFmtId="169" fontId="3" fillId="2" borderId="3" xfId="0" applyNumberFormat="1" applyFont="1" applyFill="1" applyBorder="1" applyAlignment="1">
      <alignment horizontal="center"/>
    </xf>
    <xf numFmtId="169" fontId="3" fillId="3" borderId="2" xfId="0" applyNumberFormat="1" applyFont="1" applyFill="1" applyBorder="1" applyAlignment="1" applyProtection="1">
      <alignment horizontal="center" vertical="center"/>
      <protection locked="0"/>
    </xf>
    <xf numFmtId="0" fontId="3" fillId="0" borderId="8" xfId="0" applyFont="1" applyBorder="1"/>
    <xf numFmtId="0" fontId="3" fillId="3" borderId="2" xfId="0" applyFont="1" applyFill="1" applyBorder="1" applyAlignment="1">
      <alignment horizontal="center"/>
    </xf>
    <xf numFmtId="0" fontId="3" fillId="0" borderId="7" xfId="0" applyFont="1" applyBorder="1" applyAlignment="1">
      <alignment horizontal="center"/>
    </xf>
    <xf numFmtId="0" fontId="3" fillId="0" borderId="7" xfId="0" applyFont="1" applyBorder="1" applyAlignment="1" applyProtection="1">
      <alignment horizontal="center"/>
      <protection locked="0"/>
    </xf>
    <xf numFmtId="1" fontId="3" fillId="0" borderId="7" xfId="0" applyNumberFormat="1" applyFont="1" applyBorder="1" applyAlignment="1" applyProtection="1">
      <alignment horizontal="center"/>
      <protection locked="0"/>
    </xf>
    <xf numFmtId="0" fontId="3" fillId="0" borderId="16" xfId="0" applyFont="1" applyBorder="1" applyAlignment="1" applyProtection="1">
      <alignment horizontal="center"/>
      <protection locked="0"/>
    </xf>
    <xf numFmtId="0" fontId="5" fillId="0" borderId="2" xfId="0" applyFont="1" applyBorder="1" applyAlignment="1">
      <alignment vertical="center" wrapText="1"/>
    </xf>
    <xf numFmtId="1" fontId="5" fillId="7" borderId="2" xfId="0" applyNumberFormat="1" applyFont="1" applyFill="1" applyBorder="1" applyAlignment="1">
      <alignment horizontal="center" vertical="center"/>
    </xf>
    <xf numFmtId="1" fontId="3" fillId="2" borderId="7" xfId="0" applyNumberFormat="1" applyFont="1" applyFill="1" applyBorder="1" applyAlignment="1">
      <alignment horizontal="center"/>
    </xf>
    <xf numFmtId="0" fontId="3" fillId="0" borderId="3" xfId="0" applyFont="1" applyBorder="1" applyAlignment="1" applyProtection="1">
      <alignment horizontal="center"/>
      <protection locked="0"/>
    </xf>
    <xf numFmtId="0" fontId="37" fillId="0" borderId="2" xfId="9" applyFont="1" applyBorder="1"/>
    <xf numFmtId="1" fontId="5" fillId="5" borderId="2" xfId="0" applyNumberFormat="1" applyFont="1" applyFill="1" applyBorder="1" applyAlignment="1">
      <alignment horizontal="center"/>
    </xf>
    <xf numFmtId="1" fontId="5" fillId="0" borderId="2" xfId="0" applyNumberFormat="1" applyFont="1" applyBorder="1" applyAlignment="1">
      <alignment horizontal="center"/>
    </xf>
    <xf numFmtId="0" fontId="37" fillId="0" borderId="2" xfId="9" applyFont="1" applyFill="1" applyBorder="1"/>
    <xf numFmtId="3" fontId="3" fillId="0" borderId="8" xfId="0" applyNumberFormat="1" applyFont="1" applyBorder="1" applyAlignment="1">
      <alignment horizontal="center"/>
    </xf>
    <xf numFmtId="9" fontId="3" fillId="4" borderId="2" xfId="8" applyFont="1" applyFill="1" applyBorder="1" applyAlignment="1">
      <alignment horizontal="center"/>
    </xf>
    <xf numFmtId="9" fontId="3" fillId="0" borderId="2" xfId="8" applyFont="1" applyBorder="1" applyAlignment="1" applyProtection="1">
      <alignment horizontal="center"/>
      <protection locked="0"/>
    </xf>
    <xf numFmtId="0" fontId="5" fillId="0" borderId="1" xfId="0" applyFont="1" applyBorder="1" applyAlignment="1">
      <alignment horizontal="left" indent="1"/>
    </xf>
    <xf numFmtId="9" fontId="3" fillId="0" borderId="2" xfId="8" applyFont="1" applyBorder="1" applyAlignment="1">
      <alignment horizontal="center"/>
    </xf>
    <xf numFmtId="0" fontId="24" fillId="0" borderId="0" xfId="0" applyFont="1" applyAlignment="1">
      <alignment vertical="top" wrapText="1"/>
    </xf>
    <xf numFmtId="0" fontId="3" fillId="0" borderId="0" xfId="0" applyFont="1" applyAlignment="1">
      <alignment horizontal="center"/>
    </xf>
    <xf numFmtId="0" fontId="29" fillId="0" borderId="8" xfId="0" applyFont="1" applyBorder="1"/>
    <xf numFmtId="3" fontId="3" fillId="0" borderId="22" xfId="0" applyNumberFormat="1" applyFont="1" applyBorder="1" applyAlignment="1">
      <alignment horizontal="center"/>
    </xf>
    <xf numFmtId="3" fontId="3" fillId="0" borderId="0" xfId="0" applyNumberFormat="1" applyFont="1" applyAlignment="1">
      <alignment horizontal="center"/>
    </xf>
    <xf numFmtId="4" fontId="3" fillId="0" borderId="2" xfId="0" applyNumberFormat="1" applyFont="1" applyBorder="1" applyAlignment="1">
      <alignment horizontal="center"/>
    </xf>
    <xf numFmtId="3" fontId="3" fillId="0" borderId="2" xfId="0" applyNumberFormat="1" applyFont="1" applyBorder="1" applyAlignment="1">
      <alignment horizontal="center"/>
    </xf>
    <xf numFmtId="0" fontId="5" fillId="0" borderId="2" xfId="0" quotePrefix="1" applyFont="1" applyBorder="1" applyAlignment="1">
      <alignment wrapText="1"/>
    </xf>
    <xf numFmtId="0" fontId="39" fillId="0" borderId="2" xfId="7" applyFont="1" applyBorder="1" applyAlignment="1">
      <alignment horizontal="left" vertical="center" indent="1"/>
    </xf>
    <xf numFmtId="0" fontId="5" fillId="0" borderId="2" xfId="0" applyFont="1" applyBorder="1"/>
    <xf numFmtId="0" fontId="40" fillId="0" borderId="2" xfId="0" applyFont="1" applyBorder="1"/>
    <xf numFmtId="0" fontId="29" fillId="0" borderId="3" xfId="0" applyFont="1" applyBorder="1"/>
    <xf numFmtId="3" fontId="3" fillId="0" borderId="3" xfId="0" applyNumberFormat="1" applyFont="1" applyBorder="1" applyAlignment="1">
      <alignment horizontal="center"/>
    </xf>
    <xf numFmtId="3" fontId="3" fillId="0" borderId="23" xfId="0" applyNumberFormat="1" applyFont="1" applyBorder="1" applyAlignment="1">
      <alignment horizontal="center"/>
    </xf>
    <xf numFmtId="0" fontId="3" fillId="0" borderId="19" xfId="0" applyFont="1" applyBorder="1"/>
    <xf numFmtId="0" fontId="4" fillId="2" borderId="5" xfId="0" applyFont="1" applyFill="1" applyBorder="1" applyAlignment="1">
      <alignment horizontal="right"/>
    </xf>
    <xf numFmtId="168" fontId="4" fillId="2" borderId="6" xfId="0" applyNumberFormat="1" applyFont="1" applyFill="1" applyBorder="1"/>
    <xf numFmtId="0" fontId="5" fillId="0" borderId="1" xfId="0" quotePrefix="1" applyFont="1" applyBorder="1"/>
    <xf numFmtId="0" fontId="3" fillId="0" borderId="1" xfId="0" applyFont="1" applyBorder="1" applyAlignment="1">
      <alignment horizontal="left" indent="1"/>
    </xf>
    <xf numFmtId="0" fontId="3" fillId="0" borderId="1" xfId="0" applyFont="1" applyBorder="1" applyAlignment="1">
      <alignment horizontal="left" wrapText="1" indent="1"/>
    </xf>
    <xf numFmtId="0" fontId="39" fillId="0" borderId="1" xfId="7" applyFont="1" applyBorder="1" applyAlignment="1">
      <alignment horizontal="left" vertical="center" indent="1"/>
    </xf>
    <xf numFmtId="3" fontId="3" fillId="0" borderId="7" xfId="0" applyNumberFormat="1" applyFont="1" applyBorder="1" applyAlignment="1" applyProtection="1">
      <alignment horizontal="center"/>
      <protection locked="0"/>
    </xf>
    <xf numFmtId="3" fontId="0" fillId="0" borderId="20" xfId="0" applyNumberFormat="1" applyBorder="1" applyAlignment="1">
      <alignment horizontal="center"/>
    </xf>
    <xf numFmtId="3" fontId="0" fillId="0" borderId="1" xfId="0" applyNumberFormat="1" applyBorder="1" applyAlignment="1">
      <alignment horizontal="center"/>
    </xf>
    <xf numFmtId="3" fontId="0" fillId="6" borderId="1" xfId="0" applyNumberFormat="1" applyFill="1" applyBorder="1" applyAlignment="1">
      <alignment horizontal="center"/>
    </xf>
    <xf numFmtId="3" fontId="5" fillId="0" borderId="1" xfId="0" applyNumberFormat="1" applyFont="1" applyBorder="1" applyAlignment="1">
      <alignment horizontal="center"/>
    </xf>
    <xf numFmtId="3" fontId="0" fillId="0" borderId="15" xfId="0" applyNumberFormat="1" applyBorder="1" applyAlignment="1">
      <alignment horizontal="center"/>
    </xf>
    <xf numFmtId="0" fontId="31" fillId="0" borderId="2" xfId="1" applyFont="1" applyBorder="1" applyAlignment="1">
      <alignment vertical="center"/>
    </xf>
    <xf numFmtId="3" fontId="0" fillId="6" borderId="0" xfId="0" applyNumberFormat="1" applyFill="1" applyAlignment="1">
      <alignment horizontal="center"/>
    </xf>
    <xf numFmtId="3" fontId="0" fillId="6" borderId="2" xfId="0" applyNumberFormat="1" applyFill="1" applyBorder="1" applyAlignment="1">
      <alignment horizontal="center"/>
    </xf>
    <xf numFmtId="4" fontId="30" fillId="3" borderId="2" xfId="0" applyNumberFormat="1" applyFont="1" applyFill="1" applyBorder="1" applyAlignment="1">
      <alignment horizontal="center"/>
    </xf>
    <xf numFmtId="4" fontId="17" fillId="3" borderId="2" xfId="0" applyNumberFormat="1" applyFont="1" applyFill="1" applyBorder="1" applyAlignment="1">
      <alignment horizontal="center"/>
    </xf>
    <xf numFmtId="0" fontId="10" fillId="0" borderId="0" xfId="0" applyFont="1" applyAlignment="1">
      <alignment horizontal="left"/>
    </xf>
    <xf numFmtId="0" fontId="11" fillId="0" borderId="0" xfId="0" applyFont="1" applyAlignment="1">
      <alignment horizontal="left" vertical="top" wrapText="1"/>
    </xf>
    <xf numFmtId="0" fontId="14" fillId="0" borderId="0" xfId="0" applyFont="1" applyAlignment="1">
      <alignment horizontal="left" vertical="top"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Alignment="1">
      <alignment horizontal="left"/>
    </xf>
    <xf numFmtId="0" fontId="7" fillId="0" borderId="12" xfId="0" applyFont="1" applyBorder="1" applyAlignment="1">
      <alignment horizontal="left"/>
    </xf>
    <xf numFmtId="0" fontId="7" fillId="0" borderId="13" xfId="0" applyFont="1" applyBorder="1" applyAlignment="1">
      <alignment horizontal="left" wrapText="1"/>
    </xf>
    <xf numFmtId="0" fontId="7" fillId="0" borderId="18" xfId="0" applyFont="1" applyBorder="1" applyAlignment="1">
      <alignment horizontal="left" wrapText="1"/>
    </xf>
    <xf numFmtId="0" fontId="7" fillId="0" borderId="14" xfId="0" applyFont="1" applyBorder="1" applyAlignment="1">
      <alignment horizontal="left" wrapText="1"/>
    </xf>
    <xf numFmtId="0" fontId="11" fillId="0" borderId="0" xfId="0" applyFont="1" applyAlignment="1">
      <alignment horizontal="left" wrapText="1"/>
    </xf>
    <xf numFmtId="0" fontId="7" fillId="0" borderId="10" xfId="0" applyFont="1" applyBorder="1" applyAlignment="1">
      <alignment horizontal="left" vertical="top" wrapText="1"/>
    </xf>
    <xf numFmtId="0" fontId="7" fillId="0" borderId="17"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8" fillId="0" borderId="13"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4" fillId="0" borderId="0" xfId="0" applyFont="1" applyAlignment="1">
      <alignment horizontal="left" wrapText="1"/>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 fillId="2" borderId="6" xfId="0" applyFont="1" applyFill="1" applyBorder="1" applyAlignment="1">
      <alignment horizontal="center"/>
    </xf>
    <xf numFmtId="0" fontId="11" fillId="0" borderId="0" xfId="0" applyFont="1" applyAlignment="1">
      <alignment horizontal="left"/>
    </xf>
    <xf numFmtId="0" fontId="11" fillId="0" borderId="0" xfId="1" applyFont="1" applyAlignment="1">
      <alignment horizontal="left"/>
    </xf>
    <xf numFmtId="0" fontId="3" fillId="2" borderId="5" xfId="1" applyFill="1" applyBorder="1" applyAlignment="1">
      <alignment horizontal="center"/>
    </xf>
    <xf numFmtId="0" fontId="3" fillId="2" borderId="6" xfId="1" applyFill="1" applyBorder="1" applyAlignment="1">
      <alignment horizontal="center"/>
    </xf>
    <xf numFmtId="0" fontId="29" fillId="2" borderId="5" xfId="1" applyFont="1" applyFill="1" applyBorder="1" applyAlignment="1">
      <alignment horizontal="center"/>
    </xf>
    <xf numFmtId="0" fontId="29" fillId="2" borderId="6" xfId="1" applyFont="1" applyFill="1" applyBorder="1" applyAlignment="1">
      <alignment horizontal="center"/>
    </xf>
    <xf numFmtId="0" fontId="33" fillId="0" borderId="10" xfId="1" applyFont="1" applyBorder="1" applyAlignment="1">
      <alignment horizontal="left" vertical="top" wrapText="1"/>
    </xf>
    <xf numFmtId="0" fontId="35" fillId="0" borderId="11" xfId="1" applyFont="1" applyBorder="1" applyAlignment="1">
      <alignment horizontal="left" vertical="top" wrapText="1"/>
    </xf>
    <xf numFmtId="0" fontId="35" fillId="0" borderId="9" xfId="1" applyFont="1" applyBorder="1" applyAlignment="1">
      <alignment horizontal="left" vertical="top" wrapText="1"/>
    </xf>
    <xf numFmtId="0" fontId="35" fillId="0" borderId="12" xfId="1" applyFont="1" applyBorder="1" applyAlignment="1">
      <alignment horizontal="left" vertical="top" wrapText="1"/>
    </xf>
    <xf numFmtId="0" fontId="33" fillId="0" borderId="13" xfId="1" applyFont="1" applyBorder="1" applyAlignment="1">
      <alignment horizontal="left" vertical="top" wrapText="1"/>
    </xf>
    <xf numFmtId="0" fontId="35" fillId="0" borderId="14" xfId="1" applyFont="1" applyBorder="1" applyAlignment="1">
      <alignment horizontal="left" vertical="top" wrapText="1"/>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0" fontId="7" fillId="0" borderId="9" xfId="1" applyFont="1" applyBorder="1" applyAlignment="1">
      <alignment horizontal="left" vertical="top" wrapText="1"/>
    </xf>
    <xf numFmtId="0" fontId="7" fillId="0" borderId="12" xfId="1" applyFont="1"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7" fillId="0" borderId="18" xfId="0" applyFont="1" applyBorder="1" applyAlignment="1">
      <alignment horizontal="left" vertical="top" wrapText="1"/>
    </xf>
    <xf numFmtId="0" fontId="4" fillId="2" borderId="5" xfId="0" applyFont="1" applyFill="1" applyBorder="1" applyAlignment="1">
      <alignment horizontal="left"/>
    </xf>
    <xf numFmtId="0" fontId="4" fillId="2" borderId="21" xfId="0" applyFont="1" applyFill="1" applyBorder="1" applyAlignment="1">
      <alignment horizontal="left"/>
    </xf>
    <xf numFmtId="0" fontId="4" fillId="2" borderId="6" xfId="0" applyFont="1" applyFill="1" applyBorder="1" applyAlignment="1">
      <alignment horizontal="left"/>
    </xf>
    <xf numFmtId="0" fontId="7" fillId="0" borderId="0" xfId="0" applyFont="1" applyAlignment="1">
      <alignment horizontal="left" vertical="top" wrapText="1"/>
    </xf>
    <xf numFmtId="0" fontId="3" fillId="2" borderId="21"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cellXfs>
  <cellStyles count="10">
    <cellStyle name="Comma 2" xfId="5" xr:uid="{00000000-0005-0000-0000-000000000000}"/>
    <cellStyle name="Comma 3" xfId="3" xr:uid="{00000000-0005-0000-0000-000001000000}"/>
    <cellStyle name="Currency 2" xfId="4" xr:uid="{00000000-0005-0000-0000-000002000000}"/>
    <cellStyle name="Currency 3" xfId="6" xr:uid="{00000000-0005-0000-0000-000003000000}"/>
    <cellStyle name="Hyperlink" xfId="9" builtinId="8"/>
    <cellStyle name="Normal" xfId="0" builtinId="0"/>
    <cellStyle name="Normal 2" xfId="1" xr:uid="{00000000-0005-0000-0000-000005000000}"/>
    <cellStyle name="Normal 3" xfId="2" xr:uid="{00000000-0005-0000-0000-000006000000}"/>
    <cellStyle name="Normal 3 2"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tabSelected="1" zoomScaleNormal="100" zoomScalePageLayoutView="170" workbookViewId="0"/>
  </sheetViews>
  <sheetFormatPr defaultColWidth="8.7109375" defaultRowHeight="12.75"/>
  <cols>
    <col min="1" max="1" width="2.140625" customWidth="1"/>
    <col min="2" max="2" width="47.7109375" customWidth="1"/>
    <col min="3" max="3" width="12.7109375" style="4" customWidth="1"/>
    <col min="4" max="4" width="3.28515625" style="4" customWidth="1"/>
    <col min="5" max="5" width="53.42578125" customWidth="1"/>
    <col min="6" max="6" width="14.7109375" style="4" customWidth="1"/>
  </cols>
  <sheetData>
    <row r="1" spans="2:6" ht="19.5" customHeight="1">
      <c r="B1" s="225" t="s">
        <v>0</v>
      </c>
      <c r="C1" s="225"/>
      <c r="D1" s="225"/>
      <c r="E1" s="225"/>
      <c r="F1" s="225"/>
    </row>
    <row r="2" spans="2:6" ht="39.75" customHeight="1">
      <c r="B2" s="226" t="s">
        <v>1</v>
      </c>
      <c r="C2" s="227"/>
      <c r="D2" s="227"/>
      <c r="E2" s="227"/>
      <c r="F2" s="227"/>
    </row>
    <row r="3" spans="2:6" ht="13.5" thickBot="1"/>
    <row r="4" spans="2:6" ht="13.5" thickBot="1">
      <c r="B4" s="228" t="s">
        <v>2</v>
      </c>
      <c r="C4" s="229"/>
      <c r="E4" s="230" t="s">
        <v>3</v>
      </c>
      <c r="F4" s="231"/>
    </row>
    <row r="5" spans="2:6" ht="13.5" thickBot="1"/>
    <row r="6" spans="2:6" ht="13.5" thickBot="1">
      <c r="B6" s="3" t="s">
        <v>4</v>
      </c>
      <c r="C6" s="22" t="s">
        <v>5</v>
      </c>
      <c r="E6" s="3" t="s">
        <v>6</v>
      </c>
      <c r="F6" s="21" t="s">
        <v>5</v>
      </c>
    </row>
    <row r="7" spans="2:6">
      <c r="B7" s="10"/>
      <c r="C7" s="122"/>
      <c r="E7" s="31"/>
      <c r="F7" s="44"/>
    </row>
    <row r="8" spans="2:6">
      <c r="B8" s="10" t="s">
        <v>7</v>
      </c>
      <c r="C8" s="162">
        <v>12000</v>
      </c>
      <c r="E8" s="78" t="s">
        <v>8</v>
      </c>
      <c r="F8" s="126">
        <f>C8/C10</f>
        <v>4000</v>
      </c>
    </row>
    <row r="9" spans="2:6">
      <c r="B9" s="10"/>
      <c r="C9" s="163"/>
      <c r="E9" s="78"/>
      <c r="F9" s="122"/>
    </row>
    <row r="10" spans="2:6" ht="27">
      <c r="B10" s="17" t="s">
        <v>9</v>
      </c>
      <c r="C10" s="164">
        <v>3</v>
      </c>
      <c r="E10" s="119" t="s">
        <v>10</v>
      </c>
      <c r="F10" s="168">
        <f>C10*C14</f>
        <v>12</v>
      </c>
    </row>
    <row r="11" spans="2:6">
      <c r="B11" s="10"/>
      <c r="C11" s="165"/>
      <c r="E11" s="78"/>
      <c r="F11" s="169"/>
    </row>
    <row r="12" spans="2:6" ht="14.25">
      <c r="B12" s="10" t="s">
        <v>11</v>
      </c>
      <c r="C12" s="166">
        <v>20</v>
      </c>
      <c r="E12" s="78" t="s">
        <v>12</v>
      </c>
      <c r="F12" s="170">
        <f>F10*C12</f>
        <v>240</v>
      </c>
    </row>
    <row r="13" spans="2:6">
      <c r="B13" s="10"/>
      <c r="C13" s="165"/>
      <c r="E13" s="78"/>
      <c r="F13" s="169"/>
    </row>
    <row r="14" spans="2:6" ht="14.25">
      <c r="B14" s="10" t="s">
        <v>13</v>
      </c>
      <c r="C14" s="166">
        <v>4</v>
      </c>
      <c r="E14" s="78" t="s">
        <v>14</v>
      </c>
      <c r="F14" s="168">
        <f>ROUND(C16/C10/C14,0)</f>
        <v>2</v>
      </c>
    </row>
    <row r="15" spans="2:6">
      <c r="B15" s="10"/>
      <c r="C15" s="165"/>
      <c r="E15" s="78"/>
      <c r="F15" s="122"/>
    </row>
    <row r="16" spans="2:6" ht="14.25">
      <c r="B16" s="10" t="s">
        <v>15</v>
      </c>
      <c r="C16" s="166">
        <v>20</v>
      </c>
      <c r="E16" s="120" t="s">
        <v>16</v>
      </c>
      <c r="F16" s="170">
        <f>C8/F12</f>
        <v>50</v>
      </c>
    </row>
    <row r="17" spans="2:6">
      <c r="B17" s="10"/>
      <c r="C17" s="165"/>
      <c r="E17" s="77" t="s">
        <v>17</v>
      </c>
      <c r="F17" s="170">
        <f>F16/5</f>
        <v>10</v>
      </c>
    </row>
    <row r="18" spans="2:6" ht="14.25">
      <c r="B18" s="10"/>
      <c r="C18" s="163"/>
      <c r="E18" s="121" t="s">
        <v>18</v>
      </c>
      <c r="F18" s="169"/>
    </row>
    <row r="19" spans="2:6">
      <c r="B19" s="10"/>
      <c r="C19" s="163"/>
      <c r="E19" s="77" t="s">
        <v>19</v>
      </c>
      <c r="F19" s="170">
        <v>70</v>
      </c>
    </row>
    <row r="20" spans="2:6">
      <c r="B20" s="78"/>
      <c r="C20" s="122"/>
      <c r="E20" s="78"/>
      <c r="F20" s="97"/>
    </row>
    <row r="21" spans="2:6" ht="13.5" thickBot="1">
      <c r="B21" s="118" t="s">
        <v>20</v>
      </c>
      <c r="C21" s="167">
        <v>45139</v>
      </c>
      <c r="E21" s="171" t="s">
        <v>21</v>
      </c>
      <c r="F21" s="172">
        <f>C21+F16/5*7</f>
        <v>45209</v>
      </c>
    </row>
    <row r="22" spans="2:6">
      <c r="C22" s="9"/>
    </row>
    <row r="23" spans="2:6" ht="22.5" customHeight="1">
      <c r="B23" s="232" t="s">
        <v>22</v>
      </c>
      <c r="C23" s="233"/>
      <c r="D23" s="233"/>
      <c r="E23" s="233"/>
      <c r="F23" s="234"/>
    </row>
    <row r="24" spans="2:6" ht="22.5" customHeight="1">
      <c r="B24" s="235" t="s">
        <v>23</v>
      </c>
      <c r="C24" s="236"/>
      <c r="D24" s="236"/>
      <c r="E24" s="236"/>
      <c r="F24" s="237"/>
    </row>
    <row r="25" spans="2:6">
      <c r="B25" s="238" t="s">
        <v>24</v>
      </c>
      <c r="C25" s="239"/>
      <c r="D25" s="239"/>
      <c r="E25" s="239"/>
      <c r="F25" s="240"/>
    </row>
    <row r="26" spans="2:6">
      <c r="B26" s="238" t="s">
        <v>25</v>
      </c>
      <c r="C26" s="239"/>
      <c r="D26" s="239"/>
      <c r="E26" s="239"/>
      <c r="F26" s="240"/>
    </row>
    <row r="27" spans="2:6" ht="45" customHeight="1">
      <c r="B27" s="241" t="s">
        <v>26</v>
      </c>
      <c r="C27" s="242"/>
      <c r="D27" s="242"/>
      <c r="E27" s="242"/>
      <c r="F27" s="243"/>
    </row>
    <row r="28" spans="2:6">
      <c r="C28"/>
      <c r="D28"/>
      <c r="F28"/>
    </row>
    <row r="29" spans="2:6">
      <c r="C29"/>
      <c r="D29"/>
      <c r="F29"/>
    </row>
    <row r="30" spans="2:6">
      <c r="C30"/>
      <c r="D30"/>
      <c r="F30"/>
    </row>
    <row r="31" spans="2:6">
      <c r="C31"/>
      <c r="D31"/>
      <c r="F31"/>
    </row>
    <row r="32" spans="2:6">
      <c r="C32"/>
      <c r="D32"/>
      <c r="F32"/>
    </row>
    <row r="33" spans="3:6">
      <c r="C33"/>
      <c r="D33"/>
      <c r="F33"/>
    </row>
    <row r="34" spans="3:6">
      <c r="C34"/>
      <c r="D34"/>
      <c r="F34"/>
    </row>
    <row r="35" spans="3:6">
      <c r="C35"/>
      <c r="D35"/>
      <c r="E35" s="300"/>
      <c r="F35" s="300"/>
    </row>
  </sheetData>
  <sheetProtection formatCells="0" formatColumns="0" formatRows="0" insertColumns="0" insertRows="0" insertHyperlinks="0" selectLockedCells="1" sort="0" autoFilter="0" pivotTables="0"/>
  <mergeCells count="10">
    <mergeCell ref="B1:F1"/>
    <mergeCell ref="B2:F2"/>
    <mergeCell ref="E35:F35"/>
    <mergeCell ref="B4:C4"/>
    <mergeCell ref="E4:F4"/>
    <mergeCell ref="B23:F23"/>
    <mergeCell ref="B24:F24"/>
    <mergeCell ref="B25:F25"/>
    <mergeCell ref="B26:F26"/>
    <mergeCell ref="B27:F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3"/>
  <sheetViews>
    <sheetView zoomScaleNormal="100" zoomScalePageLayoutView="150" workbookViewId="0"/>
  </sheetViews>
  <sheetFormatPr defaultColWidth="8.7109375" defaultRowHeight="12.75"/>
  <cols>
    <col min="1" max="1" width="2.140625" customWidth="1"/>
    <col min="2" max="2" width="47.7109375" customWidth="1"/>
    <col min="3" max="3" width="12.7109375" style="4" customWidth="1"/>
    <col min="4" max="4" width="3.28515625" style="4" customWidth="1"/>
    <col min="5" max="5" width="50.42578125" customWidth="1"/>
    <col min="6" max="6" width="14.7109375" style="4" customWidth="1"/>
  </cols>
  <sheetData>
    <row r="1" spans="2:6" ht="19.5" customHeight="1">
      <c r="B1" s="225" t="s">
        <v>27</v>
      </c>
      <c r="C1" s="225"/>
      <c r="D1" s="225"/>
      <c r="E1" s="225"/>
      <c r="F1" s="225"/>
    </row>
    <row r="2" spans="2:6" ht="24" customHeight="1">
      <c r="B2" s="244" t="s">
        <v>28</v>
      </c>
      <c r="C2" s="244"/>
      <c r="D2" s="244"/>
      <c r="E2" s="244"/>
      <c r="F2" s="244"/>
    </row>
    <row r="3" spans="2:6" ht="13.5" thickBot="1"/>
    <row r="4" spans="2:6" ht="30" customHeight="1" thickBot="1">
      <c r="B4" s="251" t="s">
        <v>29</v>
      </c>
      <c r="C4" s="252"/>
      <c r="D4" s="50"/>
      <c r="E4" s="50"/>
      <c r="F4" s="50"/>
    </row>
    <row r="5" spans="2:6">
      <c r="B5" s="24"/>
      <c r="C5" s="1"/>
    </row>
    <row r="6" spans="2:6">
      <c r="B6" s="24" t="s">
        <v>30</v>
      </c>
      <c r="C6" s="30">
        <f>'Duracion Trabajo de Campo'!C8/'Duracion Trabajo de Campo'!C16</f>
        <v>600</v>
      </c>
    </row>
    <row r="7" spans="2:6" ht="13.5" thickBot="1">
      <c r="B7" s="28"/>
      <c r="C7" s="8"/>
    </row>
    <row r="8" spans="2:6" ht="13.5" thickBot="1"/>
    <row r="9" spans="2:6" ht="13.5" thickBot="1">
      <c r="B9" s="228" t="s">
        <v>31</v>
      </c>
      <c r="C9" s="229"/>
      <c r="E9" s="230" t="s">
        <v>3</v>
      </c>
      <c r="F9" s="231"/>
    </row>
    <row r="10" spans="2:6" ht="13.5" thickBot="1"/>
    <row r="11" spans="2:6" ht="13.5" thickBot="1">
      <c r="B11" s="3" t="s">
        <v>4</v>
      </c>
      <c r="C11" s="22" t="s">
        <v>5</v>
      </c>
      <c r="E11" s="3" t="s">
        <v>6</v>
      </c>
      <c r="F11" s="21" t="s">
        <v>5</v>
      </c>
    </row>
    <row r="12" spans="2:6">
      <c r="B12" s="1"/>
      <c r="C12" s="5"/>
      <c r="E12" s="1"/>
      <c r="F12" s="5"/>
    </row>
    <row r="13" spans="2:6" ht="28.35" customHeight="1">
      <c r="B13" s="53" t="s">
        <v>32</v>
      </c>
      <c r="C13" s="51">
        <v>1</v>
      </c>
      <c r="D13" s="54"/>
      <c r="E13" s="48" t="s">
        <v>33</v>
      </c>
      <c r="F13" s="52">
        <f>C6/C13*1.2</f>
        <v>720</v>
      </c>
    </row>
    <row r="14" spans="2:6">
      <c r="B14" s="55"/>
      <c r="C14" s="56"/>
      <c r="D14" s="54"/>
      <c r="E14" s="55"/>
      <c r="F14" s="57"/>
    </row>
    <row r="15" spans="2:6" ht="14.25">
      <c r="B15" s="48" t="s">
        <v>34</v>
      </c>
      <c r="C15" s="46">
        <v>15</v>
      </c>
      <c r="D15" s="54"/>
      <c r="E15" s="55" t="s">
        <v>35</v>
      </c>
      <c r="F15" s="47">
        <f>F13/C15</f>
        <v>48</v>
      </c>
    </row>
    <row r="16" spans="2:6">
      <c r="B16" s="48"/>
      <c r="C16" s="58"/>
      <c r="D16" s="54"/>
      <c r="E16" s="48"/>
      <c r="F16" s="60"/>
    </row>
    <row r="17" spans="2:6">
      <c r="B17" s="48"/>
      <c r="C17" s="58"/>
      <c r="D17" s="54"/>
      <c r="E17" s="19" t="s">
        <v>17</v>
      </c>
      <c r="F17" s="20">
        <f>F15/6</f>
        <v>8</v>
      </c>
    </row>
    <row r="18" spans="2:6" ht="14.25">
      <c r="B18" s="55"/>
      <c r="C18" s="58"/>
      <c r="D18" s="54"/>
      <c r="E18" s="16" t="s">
        <v>36</v>
      </c>
      <c r="F18" s="5"/>
    </row>
    <row r="19" spans="2:6">
      <c r="B19" s="48" t="s">
        <v>37</v>
      </c>
      <c r="C19" s="173">
        <v>44593</v>
      </c>
      <c r="D19" s="54"/>
      <c r="E19" s="48" t="s">
        <v>21</v>
      </c>
      <c r="F19" s="59">
        <f>C19+F15/4*7</f>
        <v>44677</v>
      </c>
    </row>
    <row r="20" spans="2:6" ht="13.5" thickBot="1">
      <c r="B20" s="2"/>
      <c r="C20" s="8"/>
      <c r="E20" s="2"/>
      <c r="F20" s="6"/>
    </row>
    <row r="21" spans="2:6">
      <c r="C21" s="9"/>
    </row>
    <row r="22" spans="2:6" ht="47.25" customHeight="1">
      <c r="B22" s="245" t="s">
        <v>38</v>
      </c>
      <c r="C22" s="246"/>
      <c r="D22" s="246"/>
      <c r="E22" s="246"/>
      <c r="F22" s="247"/>
    </row>
    <row r="23" spans="2:6" ht="24" customHeight="1">
      <c r="B23" s="248" t="s">
        <v>39</v>
      </c>
      <c r="C23" s="249"/>
      <c r="D23" s="249"/>
      <c r="E23" s="249"/>
      <c r="F23" s="250"/>
    </row>
    <row r="24" spans="2:6" ht="45.75" customHeight="1">
      <c r="B24" s="248" t="s">
        <v>40</v>
      </c>
      <c r="C24" s="249"/>
      <c r="D24" s="249"/>
      <c r="E24" s="249"/>
      <c r="F24" s="250"/>
    </row>
    <row r="25" spans="2:6">
      <c r="B25" s="253" t="s">
        <v>41</v>
      </c>
      <c r="C25" s="254"/>
      <c r="D25" s="254"/>
      <c r="E25" s="254"/>
      <c r="F25" s="255"/>
    </row>
    <row r="26" spans="2:6">
      <c r="C26"/>
      <c r="D26"/>
      <c r="F26"/>
    </row>
    <row r="27" spans="2:6">
      <c r="C27"/>
      <c r="D27"/>
      <c r="F27"/>
    </row>
    <row r="28" spans="2:6">
      <c r="C28"/>
      <c r="D28"/>
      <c r="F28"/>
    </row>
    <row r="29" spans="2:6">
      <c r="C29"/>
      <c r="D29"/>
      <c r="F29"/>
    </row>
    <row r="30" spans="2:6">
      <c r="C30"/>
      <c r="D30"/>
      <c r="F30"/>
    </row>
    <row r="31" spans="2:6">
      <c r="C31"/>
      <c r="D31"/>
      <c r="F31"/>
    </row>
    <row r="32" spans="2:6">
      <c r="C32"/>
      <c r="D32"/>
      <c r="F32"/>
    </row>
    <row r="33" spans="3:6">
      <c r="C33"/>
      <c r="D33"/>
      <c r="E33" s="300"/>
      <c r="F33" s="300"/>
    </row>
  </sheetData>
  <sheetProtection formatCells="0" formatColumns="0" formatRows="0" insertColumns="0" insertRows="0" insertHyperlinks="0" selectLockedCells="1" sort="0" autoFilter="0" pivotTables="0"/>
  <mergeCells count="10">
    <mergeCell ref="E33:F33"/>
    <mergeCell ref="B1:F1"/>
    <mergeCell ref="B2:F2"/>
    <mergeCell ref="B9:C9"/>
    <mergeCell ref="E9:F9"/>
    <mergeCell ref="B22:F22"/>
    <mergeCell ref="B23:F23"/>
    <mergeCell ref="B4:C4"/>
    <mergeCell ref="B25:F25"/>
    <mergeCell ref="B24:F24"/>
  </mergeCells>
  <pageMargins left="0.7" right="0.7" top="0.75" bottom="0.75" header="0.3" footer="0.3"/>
  <pageSetup paperSize="9" orientation="portrait" r:id="rId1"/>
  <ignoredErrors>
    <ignoredError sqref="C6"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6"/>
  <sheetViews>
    <sheetView zoomScaleNormal="100" zoomScalePageLayoutView="150" workbookViewId="0"/>
  </sheetViews>
  <sheetFormatPr defaultColWidth="8.7109375" defaultRowHeight="12.75"/>
  <cols>
    <col min="1" max="1" width="2.140625" customWidth="1"/>
    <col min="2" max="2" width="54.7109375" customWidth="1"/>
    <col min="3" max="3" width="14.140625" style="4" customWidth="1"/>
    <col min="4" max="4" width="3.7109375" style="4" customWidth="1"/>
    <col min="5" max="5" width="56" customWidth="1"/>
    <col min="6" max="6" width="13.140625" style="4" customWidth="1"/>
  </cols>
  <sheetData>
    <row r="1" spans="2:10" ht="19.5" customHeight="1">
      <c r="B1" s="225" t="s">
        <v>42</v>
      </c>
      <c r="C1" s="225"/>
      <c r="D1" s="225"/>
      <c r="E1" s="225"/>
      <c r="F1" s="225"/>
    </row>
    <row r="2" spans="2:10" ht="24" customHeight="1">
      <c r="B2" s="244" t="s">
        <v>43</v>
      </c>
      <c r="C2" s="264"/>
      <c r="D2" s="264"/>
      <c r="E2" s="264"/>
      <c r="F2" s="264"/>
    </row>
    <row r="3" spans="2:10" ht="13.5" thickBot="1"/>
    <row r="4" spans="2:10" ht="13.5" thickBot="1">
      <c r="B4" s="265" t="s">
        <v>44</v>
      </c>
      <c r="C4" s="266"/>
      <c r="E4" s="101" t="s">
        <v>45</v>
      </c>
      <c r="F4" s="102"/>
    </row>
    <row r="5" spans="2:10" ht="13.5" thickBot="1"/>
    <row r="6" spans="2:10" ht="13.5" thickBot="1">
      <c r="B6" s="3" t="s">
        <v>4</v>
      </c>
      <c r="C6" s="36" t="s">
        <v>5</v>
      </c>
      <c r="E6" s="3" t="s">
        <v>6</v>
      </c>
      <c r="F6" s="21" t="s">
        <v>5</v>
      </c>
    </row>
    <row r="7" spans="2:10">
      <c r="B7" s="174"/>
      <c r="C7" s="70"/>
      <c r="E7" s="72"/>
      <c r="F7" s="44"/>
    </row>
    <row r="8" spans="2:10">
      <c r="B8" s="48" t="s">
        <v>30</v>
      </c>
      <c r="C8" s="61">
        <f>'Duracion Listado'!C6</f>
        <v>600</v>
      </c>
      <c r="D8" s="54"/>
      <c r="E8" s="73" t="s">
        <v>46</v>
      </c>
      <c r="F8" s="57"/>
    </row>
    <row r="9" spans="2:10" ht="14.25">
      <c r="B9" s="48"/>
      <c r="C9" s="62"/>
      <c r="D9" s="54"/>
      <c r="E9" s="66" t="s">
        <v>47</v>
      </c>
      <c r="F9" s="47">
        <f>ROUNDUP(C10/3,0)</f>
        <v>5</v>
      </c>
    </row>
    <row r="10" spans="2:10">
      <c r="B10" s="48" t="s">
        <v>48</v>
      </c>
      <c r="C10" s="64">
        <f>'Duracion Listado'!C15</f>
        <v>15</v>
      </c>
      <c r="D10" s="54"/>
      <c r="E10" s="66" t="s">
        <v>49</v>
      </c>
      <c r="F10" s="47">
        <f>C10</f>
        <v>15</v>
      </c>
    </row>
    <row r="11" spans="2:10">
      <c r="B11" s="48"/>
      <c r="C11" s="65"/>
      <c r="D11" s="54"/>
      <c r="E11" s="98" t="s">
        <v>50</v>
      </c>
      <c r="F11" s="47">
        <f>C10</f>
        <v>15</v>
      </c>
    </row>
    <row r="12" spans="2:10" ht="13.5" thickBot="1">
      <c r="B12" s="53" t="s">
        <v>51</v>
      </c>
      <c r="C12" s="45">
        <f>'Duracion Listado'!F17</f>
        <v>8</v>
      </c>
      <c r="D12" s="54"/>
      <c r="E12" s="74" t="s">
        <v>52</v>
      </c>
      <c r="F12" s="68">
        <f>SUM(F9:F11)</f>
        <v>35</v>
      </c>
    </row>
    <row r="13" spans="2:10" ht="13.5" thickBot="1">
      <c r="B13" s="71" t="s">
        <v>53</v>
      </c>
      <c r="C13" s="67"/>
      <c r="D13" s="54"/>
      <c r="E13" s="103" t="s">
        <v>54</v>
      </c>
      <c r="F13" s="69">
        <f>+F12*1.1</f>
        <v>38.5</v>
      </c>
    </row>
    <row r="14" spans="2:10" ht="13.5" thickBot="1">
      <c r="B14" s="63"/>
      <c r="C14" s="54"/>
      <c r="D14" s="54"/>
    </row>
    <row r="15" spans="2:10" ht="13.5" thickBot="1">
      <c r="B15" s="228" t="s">
        <v>2</v>
      </c>
      <c r="C15" s="229"/>
      <c r="D15" s="54"/>
      <c r="E15" s="101" t="s">
        <v>55</v>
      </c>
      <c r="F15" s="102"/>
    </row>
    <row r="16" spans="2:10" ht="13.5" thickBot="1">
      <c r="D16" s="54"/>
      <c r="J16" s="11"/>
    </row>
    <row r="17" spans="2:6" ht="13.5" thickBot="1">
      <c r="B17" s="35" t="s">
        <v>4</v>
      </c>
      <c r="C17" s="22" t="s">
        <v>5</v>
      </c>
      <c r="D17" s="54"/>
      <c r="E17" s="3" t="s">
        <v>6</v>
      </c>
      <c r="F17" s="21" t="s">
        <v>5</v>
      </c>
    </row>
    <row r="18" spans="2:6">
      <c r="B18" s="78"/>
      <c r="C18" s="122"/>
      <c r="D18" s="54"/>
      <c r="E18" s="1"/>
      <c r="F18" s="5"/>
    </row>
    <row r="19" spans="2:6" ht="13.5" customHeight="1">
      <c r="B19" s="77" t="s">
        <v>56</v>
      </c>
      <c r="C19" s="122"/>
      <c r="D19" s="54"/>
      <c r="E19" s="14" t="s">
        <v>57</v>
      </c>
      <c r="F19" s="20">
        <f>F9</f>
        <v>5</v>
      </c>
    </row>
    <row r="20" spans="2:6" ht="14.25">
      <c r="B20" s="34" t="s">
        <v>58</v>
      </c>
      <c r="C20" s="175">
        <v>1</v>
      </c>
      <c r="E20" s="12" t="s">
        <v>49</v>
      </c>
      <c r="F20" s="20">
        <f>F10</f>
        <v>15</v>
      </c>
    </row>
    <row r="21" spans="2:6">
      <c r="B21" s="34"/>
      <c r="C21" s="7"/>
      <c r="E21" s="99" t="s">
        <v>50</v>
      </c>
      <c r="F21" s="20">
        <f>F11</f>
        <v>15</v>
      </c>
    </row>
    <row r="22" spans="2:6" ht="14.25">
      <c r="B22" s="34" t="s">
        <v>59</v>
      </c>
      <c r="C22" s="29">
        <v>2</v>
      </c>
      <c r="E22" s="104" t="s">
        <v>60</v>
      </c>
      <c r="F22" s="41">
        <f>F12/100*10</f>
        <v>3.5</v>
      </c>
    </row>
    <row r="23" spans="2:6" ht="13.5" thickBot="1">
      <c r="B23" s="33"/>
      <c r="C23" s="6"/>
      <c r="E23" s="13" t="s">
        <v>61</v>
      </c>
      <c r="F23" s="41">
        <f>C20</f>
        <v>1</v>
      </c>
    </row>
    <row r="24" spans="2:6" ht="13.5" thickBot="1">
      <c r="D24"/>
      <c r="E24" s="13" t="s">
        <v>62</v>
      </c>
      <c r="F24" s="41">
        <f>C22</f>
        <v>2</v>
      </c>
    </row>
    <row r="25" spans="2:6" ht="13.5" customHeight="1" thickBot="1">
      <c r="B25" s="256" t="s">
        <v>63</v>
      </c>
      <c r="C25" s="257"/>
      <c r="D25"/>
      <c r="E25" s="25" t="s">
        <v>64</v>
      </c>
      <c r="F25" s="42">
        <f>SUM(F19:F24)</f>
        <v>41.5</v>
      </c>
    </row>
    <row r="26" spans="2:6">
      <c r="B26" s="258"/>
      <c r="C26" s="259"/>
      <c r="D26"/>
    </row>
    <row r="27" spans="2:6" ht="22.5" customHeight="1">
      <c r="B27" s="260" t="s">
        <v>65</v>
      </c>
      <c r="C27" s="261"/>
      <c r="D27"/>
      <c r="E27" s="269" t="s">
        <v>66</v>
      </c>
      <c r="F27" s="270"/>
    </row>
    <row r="28" spans="2:6" ht="24" customHeight="1">
      <c r="D28"/>
      <c r="E28" s="267" t="s">
        <v>67</v>
      </c>
      <c r="F28" s="268"/>
    </row>
    <row r="29" spans="2:6" ht="24" customHeight="1">
      <c r="D29"/>
      <c r="E29" s="262" t="s">
        <v>68</v>
      </c>
      <c r="F29" s="263"/>
    </row>
    <row r="30" spans="2:6" ht="12.6" customHeight="1">
      <c r="D30"/>
    </row>
    <row r="31" spans="2:6">
      <c r="D31"/>
      <c r="F31"/>
    </row>
    <row r="32" spans="2:6">
      <c r="D32"/>
    </row>
    <row r="33" ht="12.75" customHeight="1"/>
    <row r="36" ht="12.75" customHeight="1"/>
  </sheetData>
  <mergeCells count="9">
    <mergeCell ref="B25:C26"/>
    <mergeCell ref="B27:C27"/>
    <mergeCell ref="E29:F29"/>
    <mergeCell ref="B1:F1"/>
    <mergeCell ref="B2:F2"/>
    <mergeCell ref="B4:C4"/>
    <mergeCell ref="B15:C15"/>
    <mergeCell ref="E28:F28"/>
    <mergeCell ref="E27:F27"/>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1"/>
  <sheetViews>
    <sheetView zoomScaleNormal="100" zoomScalePageLayoutView="150" workbookViewId="0"/>
  </sheetViews>
  <sheetFormatPr defaultColWidth="8.7109375" defaultRowHeight="12.75"/>
  <cols>
    <col min="1" max="1" width="2.140625" customWidth="1"/>
    <col min="2" max="2" width="57.7109375" customWidth="1"/>
    <col min="3" max="3" width="14.140625" style="4" customWidth="1"/>
    <col min="4" max="4" width="3.7109375" style="4" customWidth="1"/>
    <col min="5" max="5" width="72.28515625" customWidth="1"/>
    <col min="6" max="6" width="13.140625" style="4" customWidth="1"/>
  </cols>
  <sheetData>
    <row r="1" spans="2:10" ht="19.5" customHeight="1">
      <c r="B1" s="105" t="s">
        <v>69</v>
      </c>
      <c r="C1" s="105"/>
      <c r="D1" s="105"/>
      <c r="E1" s="105"/>
      <c r="F1" s="105"/>
    </row>
    <row r="2" spans="2:10" ht="24" customHeight="1">
      <c r="B2" s="244" t="s">
        <v>70</v>
      </c>
      <c r="C2" s="244"/>
      <c r="D2" s="244"/>
      <c r="E2" s="244"/>
      <c r="F2" s="244"/>
    </row>
    <row r="3" spans="2:10" ht="13.5" thickBot="1"/>
    <row r="4" spans="2:10" ht="13.5" thickBot="1">
      <c r="B4" s="265" t="s">
        <v>44</v>
      </c>
      <c r="C4" s="266"/>
      <c r="E4" s="230" t="s">
        <v>45</v>
      </c>
      <c r="F4" s="231"/>
    </row>
    <row r="5" spans="2:10" ht="13.5" thickBot="1"/>
    <row r="6" spans="2:10" ht="13.5" thickBot="1">
      <c r="B6" s="3" t="s">
        <v>4</v>
      </c>
      <c r="C6" s="36" t="s">
        <v>5</v>
      </c>
      <c r="E6" s="3" t="s">
        <v>6</v>
      </c>
      <c r="F6" s="21" t="s">
        <v>5</v>
      </c>
    </row>
    <row r="7" spans="2:10">
      <c r="B7" s="10"/>
      <c r="C7" s="176"/>
      <c r="E7" s="10"/>
      <c r="F7" s="5"/>
    </row>
    <row r="8" spans="2:10">
      <c r="B8" s="10" t="s">
        <v>71</v>
      </c>
      <c r="C8" s="37">
        <f>+'Duracion Trabajo de Campo'!C8</f>
        <v>12000</v>
      </c>
      <c r="E8" s="10" t="s">
        <v>30</v>
      </c>
      <c r="F8" s="27">
        <f>C8/C10</f>
        <v>600</v>
      </c>
    </row>
    <row r="9" spans="2:10">
      <c r="B9" s="10"/>
      <c r="C9" s="176"/>
      <c r="E9" s="10" t="s">
        <v>72</v>
      </c>
      <c r="F9" s="20">
        <f>C12*5</f>
        <v>50</v>
      </c>
    </row>
    <row r="10" spans="2:10">
      <c r="B10" s="10" t="s">
        <v>73</v>
      </c>
      <c r="C10" s="38">
        <f>+'Duracion Trabajo de Campo'!C16</f>
        <v>20</v>
      </c>
      <c r="E10" s="10" t="s">
        <v>74</v>
      </c>
      <c r="F10" s="27">
        <f>C8/F9</f>
        <v>240</v>
      </c>
    </row>
    <row r="11" spans="2:10" ht="24.75" customHeight="1">
      <c r="B11" s="10"/>
      <c r="C11" s="177"/>
      <c r="E11" s="180" t="s">
        <v>75</v>
      </c>
      <c r="F11" s="181">
        <f>+'Duracion Trabajo de Campo'!F19</f>
        <v>70</v>
      </c>
    </row>
    <row r="12" spans="2:10" ht="28.5" customHeight="1">
      <c r="B12" s="17" t="s">
        <v>76</v>
      </c>
      <c r="C12" s="45">
        <f>'Duracion Trabajo de Campo'!F17</f>
        <v>10</v>
      </c>
      <c r="E12" s="53" t="s">
        <v>77</v>
      </c>
      <c r="F12" s="47">
        <f>F10/(C14*C16)</f>
        <v>20</v>
      </c>
    </row>
    <row r="13" spans="2:10">
      <c r="B13" s="10"/>
      <c r="C13" s="177"/>
      <c r="E13" s="10"/>
      <c r="F13" s="5"/>
    </row>
    <row r="14" spans="2:10">
      <c r="B14" s="10" t="s">
        <v>78</v>
      </c>
      <c r="C14" s="38">
        <f>+'Duracion Trabajo de Campo'!C10</f>
        <v>3</v>
      </c>
      <c r="E14" s="18" t="s">
        <v>46</v>
      </c>
      <c r="F14" s="5"/>
    </row>
    <row r="15" spans="2:10">
      <c r="B15" s="16"/>
      <c r="C15" s="178"/>
      <c r="E15" s="14" t="s">
        <v>57</v>
      </c>
      <c r="F15" s="20">
        <f>F12*1</f>
        <v>20</v>
      </c>
    </row>
    <row r="16" spans="2:10">
      <c r="B16" s="10" t="s">
        <v>79</v>
      </c>
      <c r="C16" s="38">
        <f>+'Duracion Trabajo de Campo'!C14</f>
        <v>4</v>
      </c>
      <c r="E16" s="12" t="s">
        <v>80</v>
      </c>
      <c r="F16" s="20">
        <f>F12*C16</f>
        <v>80</v>
      </c>
      <c r="G16" s="96"/>
      <c r="J16" s="11"/>
    </row>
    <row r="17" spans="2:8" ht="13.5" thickBot="1">
      <c r="B17" s="118"/>
      <c r="C17" s="179"/>
      <c r="E17" s="13" t="s">
        <v>81</v>
      </c>
      <c r="F17" s="20">
        <f>F12*1</f>
        <v>20</v>
      </c>
      <c r="H17" s="11"/>
    </row>
    <row r="18" spans="2:8" ht="13.5" customHeight="1" thickBot="1">
      <c r="E18" s="15" t="s">
        <v>52</v>
      </c>
      <c r="F18" s="39">
        <f>SUM(F15:F17)</f>
        <v>120</v>
      </c>
    </row>
    <row r="19" spans="2:8" ht="13.5" thickBot="1">
      <c r="B19" s="228" t="s">
        <v>2</v>
      </c>
      <c r="C19" s="229"/>
      <c r="E19" s="23" t="s">
        <v>82</v>
      </c>
      <c r="F19" s="40">
        <f>+F18*1.1</f>
        <v>132</v>
      </c>
    </row>
    <row r="20" spans="2:8" ht="13.5" thickBot="1">
      <c r="F20"/>
    </row>
    <row r="21" spans="2:8" ht="13.5" thickBot="1">
      <c r="B21" s="35" t="s">
        <v>4</v>
      </c>
      <c r="C21" s="22" t="s">
        <v>5</v>
      </c>
      <c r="E21" s="230" t="s">
        <v>55</v>
      </c>
      <c r="F21" s="231"/>
    </row>
    <row r="22" spans="2:8" ht="13.5" thickBot="1">
      <c r="B22" s="31"/>
      <c r="C22" s="5"/>
    </row>
    <row r="23" spans="2:8" ht="13.5" thickBot="1">
      <c r="B23" s="19" t="s">
        <v>83</v>
      </c>
      <c r="C23" s="176"/>
      <c r="D23"/>
      <c r="E23" s="3" t="s">
        <v>6</v>
      </c>
      <c r="F23" s="21" t="s">
        <v>5</v>
      </c>
    </row>
    <row r="24" spans="2:8" ht="14.25">
      <c r="B24" s="34" t="s">
        <v>84</v>
      </c>
      <c r="C24" s="175">
        <v>1</v>
      </c>
      <c r="D24"/>
      <c r="E24" s="13" t="s">
        <v>57</v>
      </c>
      <c r="F24" s="170">
        <f>F15</f>
        <v>20</v>
      </c>
    </row>
    <row r="25" spans="2:8">
      <c r="B25" s="34"/>
      <c r="C25" s="122"/>
      <c r="D25"/>
      <c r="E25" s="12" t="s">
        <v>80</v>
      </c>
      <c r="F25" s="170">
        <f>F16</f>
        <v>80</v>
      </c>
    </row>
    <row r="26" spans="2:8" ht="13.5" customHeight="1">
      <c r="B26" s="34" t="s">
        <v>85</v>
      </c>
      <c r="C26" s="175">
        <v>6</v>
      </c>
      <c r="D26"/>
      <c r="E26" s="13" t="s">
        <v>81</v>
      </c>
      <c r="F26" s="170">
        <f>F17</f>
        <v>20</v>
      </c>
    </row>
    <row r="27" spans="2:8">
      <c r="B27" s="34"/>
      <c r="C27" s="5"/>
      <c r="D27"/>
      <c r="E27" s="26" t="s">
        <v>86</v>
      </c>
      <c r="F27" s="182">
        <f>F18/100*10</f>
        <v>12</v>
      </c>
    </row>
    <row r="28" spans="2:8" ht="12.75" customHeight="1" thickBot="1">
      <c r="B28" s="33"/>
      <c r="C28" s="6"/>
      <c r="D28"/>
      <c r="E28" s="13" t="s">
        <v>87</v>
      </c>
      <c r="F28" s="182">
        <f>C24</f>
        <v>1</v>
      </c>
    </row>
    <row r="29" spans="2:8" ht="12.75" customHeight="1" thickBot="1">
      <c r="D29"/>
      <c r="E29" s="13" t="s">
        <v>88</v>
      </c>
      <c r="F29" s="170">
        <f>C26</f>
        <v>6</v>
      </c>
    </row>
    <row r="30" spans="2:8" ht="15" customHeight="1" thickBot="1">
      <c r="B30" s="256" t="s">
        <v>89</v>
      </c>
      <c r="C30" s="257"/>
      <c r="D30"/>
      <c r="E30" s="25" t="s">
        <v>90</v>
      </c>
      <c r="F30" s="42">
        <f>SUM(F24:F29)</f>
        <v>139</v>
      </c>
    </row>
    <row r="31" spans="2:8" ht="12.6" customHeight="1">
      <c r="B31" s="258"/>
      <c r="C31" s="259"/>
      <c r="D31"/>
    </row>
    <row r="32" spans="2:8" ht="20.25" customHeight="1">
      <c r="B32" s="258"/>
      <c r="C32" s="259"/>
      <c r="D32"/>
      <c r="E32" s="256" t="s">
        <v>91</v>
      </c>
      <c r="F32" s="257"/>
    </row>
    <row r="33" spans="2:6" ht="20.25" customHeight="1">
      <c r="B33" s="258"/>
      <c r="C33" s="259"/>
      <c r="D33"/>
      <c r="E33" s="258"/>
      <c r="F33" s="259"/>
    </row>
    <row r="34" spans="2:6" ht="20.25" customHeight="1">
      <c r="B34" s="258"/>
      <c r="C34" s="259"/>
      <c r="D34"/>
      <c r="E34" s="271"/>
      <c r="F34" s="272"/>
    </row>
    <row r="35" spans="2:6" ht="12.75" customHeight="1">
      <c r="B35" s="258" t="s">
        <v>92</v>
      </c>
      <c r="C35" s="259"/>
    </row>
    <row r="36" spans="2:6">
      <c r="B36" s="258"/>
      <c r="C36" s="259"/>
    </row>
    <row r="37" spans="2:6">
      <c r="B37" s="258"/>
      <c r="C37" s="259"/>
    </row>
    <row r="38" spans="2:6" ht="12.75" customHeight="1">
      <c r="B38" s="258" t="s">
        <v>93</v>
      </c>
      <c r="C38" s="259"/>
    </row>
    <row r="39" spans="2:6" ht="12.6" customHeight="1">
      <c r="B39" s="258"/>
      <c r="C39" s="259"/>
    </row>
    <row r="40" spans="2:6">
      <c r="B40" s="258"/>
      <c r="C40" s="259"/>
    </row>
    <row r="41" spans="2:6">
      <c r="B41" s="271"/>
      <c r="C41" s="272"/>
    </row>
  </sheetData>
  <mergeCells count="9">
    <mergeCell ref="B38:C41"/>
    <mergeCell ref="B35:C37"/>
    <mergeCell ref="E32:F34"/>
    <mergeCell ref="B2:F2"/>
    <mergeCell ref="B4:C4"/>
    <mergeCell ref="E4:F4"/>
    <mergeCell ref="B19:C19"/>
    <mergeCell ref="E21:F21"/>
    <mergeCell ref="B30:C34"/>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9"/>
  <sheetViews>
    <sheetView zoomScaleNormal="100" zoomScalePageLayoutView="150" workbookViewId="0"/>
  </sheetViews>
  <sheetFormatPr defaultColWidth="8.7109375" defaultRowHeight="12.75"/>
  <cols>
    <col min="1" max="1" width="2.140625" customWidth="1"/>
    <col min="2" max="2" width="71.140625" customWidth="1"/>
    <col min="3" max="3" width="14.42578125" style="4" customWidth="1"/>
    <col min="5" max="5" width="50.28515625" customWidth="1"/>
    <col min="6" max="6" width="17.42578125" customWidth="1"/>
  </cols>
  <sheetData>
    <row r="1" spans="2:6" ht="19.5" customHeight="1">
      <c r="B1" s="225" t="s">
        <v>94</v>
      </c>
      <c r="C1" s="225"/>
    </row>
    <row r="2" spans="2:6" ht="12.75" customHeight="1">
      <c r="B2" s="274" t="s">
        <v>95</v>
      </c>
      <c r="C2" s="274"/>
    </row>
    <row r="3" spans="2:6" ht="12.75" customHeight="1" thickBot="1">
      <c r="B3" s="49"/>
      <c r="C3" s="49"/>
    </row>
    <row r="4" spans="2:6" ht="13.5" thickBot="1">
      <c r="B4" s="230" t="s">
        <v>3</v>
      </c>
      <c r="C4" s="231"/>
      <c r="E4" s="230" t="s">
        <v>96</v>
      </c>
      <c r="F4" s="273"/>
    </row>
    <row r="5" spans="2:6" ht="13.5" thickBot="1"/>
    <row r="6" spans="2:6" ht="13.5" thickBot="1">
      <c r="B6" s="3" t="s">
        <v>4</v>
      </c>
      <c r="C6" s="22" t="s">
        <v>5</v>
      </c>
      <c r="E6" s="151" t="s">
        <v>97</v>
      </c>
      <c r="F6" s="22" t="s">
        <v>98</v>
      </c>
    </row>
    <row r="7" spans="2:6">
      <c r="B7" s="10"/>
      <c r="C7" s="122"/>
      <c r="E7" s="10"/>
      <c r="F7" s="122"/>
    </row>
    <row r="8" spans="2:6" ht="14.25">
      <c r="B8" s="10" t="s">
        <v>99</v>
      </c>
      <c r="C8" s="79">
        <f>2*'Personal Trabajo de Campo'!F17</f>
        <v>40</v>
      </c>
      <c r="E8" s="184" t="s">
        <v>100</v>
      </c>
      <c r="F8" s="185">
        <f>'Suministros Opcionales'!C8</f>
        <v>17</v>
      </c>
    </row>
    <row r="9" spans="2:6">
      <c r="B9" s="10"/>
      <c r="C9" s="80"/>
      <c r="E9" s="10"/>
      <c r="F9" s="186"/>
    </row>
    <row r="10" spans="2:6" ht="14.25">
      <c r="B10" s="17" t="s">
        <v>101</v>
      </c>
      <c r="C10" s="81">
        <f>2*'Personal Trabajo de Campo'!F17</f>
        <v>40</v>
      </c>
      <c r="E10" s="187" t="s">
        <v>102</v>
      </c>
      <c r="F10" s="185">
        <f>'Suministros Opcionales'!F8</f>
        <v>17</v>
      </c>
    </row>
    <row r="11" spans="2:6" ht="13.5" thickBot="1">
      <c r="B11" s="10"/>
      <c r="C11" s="82"/>
      <c r="E11" s="118"/>
      <c r="F11" s="183"/>
    </row>
    <row r="12" spans="2:6" ht="14.25">
      <c r="B12" s="10" t="s">
        <v>103</v>
      </c>
      <c r="C12" s="83">
        <f>'Personal Trabajo de Campo'!F24+'Personal Trabajo de Campo'!F25+'Personal Trabajo de Campo'!F12+5</f>
        <v>125</v>
      </c>
      <c r="E12" s="50"/>
      <c r="F12" s="50"/>
    </row>
    <row r="13" spans="2:6" ht="14.1" customHeight="1">
      <c r="B13" s="10"/>
      <c r="C13" s="82"/>
      <c r="E13" s="245" t="s">
        <v>104</v>
      </c>
      <c r="F13" s="247"/>
    </row>
    <row r="14" spans="2:6" ht="24" customHeight="1">
      <c r="B14" s="10" t="s">
        <v>105</v>
      </c>
      <c r="C14" s="83">
        <f>ROUNDUP(1.1*'Duracion Trabajo de Campo'!C12,0)</f>
        <v>22</v>
      </c>
      <c r="E14" s="262"/>
      <c r="F14" s="263"/>
    </row>
    <row r="15" spans="2:6" ht="13.5" thickBot="1">
      <c r="B15" s="118"/>
      <c r="C15" s="183"/>
    </row>
    <row r="16" spans="2:6" ht="12.6" customHeight="1"/>
    <row r="17" spans="2:3" ht="48" customHeight="1">
      <c r="B17" s="256" t="s">
        <v>106</v>
      </c>
      <c r="C17" s="257"/>
    </row>
    <row r="18" spans="2:3" ht="35.25" customHeight="1">
      <c r="B18" s="258" t="s">
        <v>107</v>
      </c>
      <c r="C18" s="259"/>
    </row>
    <row r="19" spans="2:3" ht="12.6" customHeight="1">
      <c r="B19" s="271" t="s">
        <v>108</v>
      </c>
      <c r="C19" s="272"/>
    </row>
  </sheetData>
  <mergeCells count="8">
    <mergeCell ref="E4:F4"/>
    <mergeCell ref="E13:F14"/>
    <mergeCell ref="B1:C1"/>
    <mergeCell ref="B2:C2"/>
    <mergeCell ref="B19:C19"/>
    <mergeCell ref="B17:C17"/>
    <mergeCell ref="B4:C4"/>
    <mergeCell ref="B18:C18"/>
  </mergeCells>
  <hyperlinks>
    <hyperlink ref="E10" location="'Optional supplies'!A1" display="GIS units - See additional sheet" xr:uid="{66426F68-FF2C-414B-9F14-9386D8B56478}"/>
  </hyperlink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29"/>
  <sheetViews>
    <sheetView workbookViewId="0"/>
  </sheetViews>
  <sheetFormatPr defaultColWidth="8.7109375" defaultRowHeight="12.75"/>
  <cols>
    <col min="1" max="1" width="2.140625" customWidth="1"/>
    <col min="2" max="2" width="59.42578125" customWidth="1"/>
    <col min="3" max="3" width="14.42578125" style="4" customWidth="1"/>
    <col min="4" max="4" width="9.7109375" customWidth="1"/>
    <col min="5" max="5" width="9.5703125" customWidth="1"/>
  </cols>
  <sheetData>
    <row r="1" spans="2:5" ht="15.75">
      <c r="B1" s="113" t="s">
        <v>109</v>
      </c>
      <c r="C1" s="113"/>
    </row>
    <row r="2" spans="2:5" ht="12.75" customHeight="1">
      <c r="B2" s="274" t="s">
        <v>95</v>
      </c>
      <c r="C2" s="274"/>
    </row>
    <row r="3" spans="2:5" ht="13.5" thickBot="1">
      <c r="B3" s="49"/>
      <c r="C3" s="49"/>
    </row>
    <row r="4" spans="2:5" ht="13.5" thickBot="1">
      <c r="B4" s="230" t="s">
        <v>3</v>
      </c>
      <c r="C4" s="231"/>
    </row>
    <row r="5" spans="2:5" ht="13.5" thickBot="1"/>
    <row r="6" spans="2:5" ht="13.5" thickBot="1">
      <c r="B6" s="3" t="s">
        <v>4</v>
      </c>
      <c r="C6" s="22" t="s">
        <v>5</v>
      </c>
    </row>
    <row r="7" spans="2:5" ht="12.75" customHeight="1">
      <c r="B7" s="10"/>
      <c r="C7" s="5"/>
    </row>
    <row r="8" spans="2:5" ht="12.75" customHeight="1">
      <c r="B8" s="10" t="s">
        <v>110</v>
      </c>
      <c r="C8" s="83">
        <f>Suministros!C12</f>
        <v>125</v>
      </c>
    </row>
    <row r="9" spans="2:5" ht="12.75" customHeight="1">
      <c r="B9" s="10"/>
      <c r="C9" s="82"/>
    </row>
    <row r="10" spans="2:5" ht="12.75" customHeight="1">
      <c r="B10" s="10" t="s">
        <v>111</v>
      </c>
      <c r="C10" s="83">
        <f>Suministros!C12</f>
        <v>125</v>
      </c>
      <c r="D10" s="114"/>
      <c r="E10" s="115"/>
    </row>
    <row r="11" spans="2:5" ht="12.75" customHeight="1">
      <c r="B11" s="10"/>
      <c r="C11" s="82"/>
      <c r="D11" s="114"/>
      <c r="E11" s="115"/>
    </row>
    <row r="12" spans="2:5" ht="12.75" customHeight="1">
      <c r="B12" s="10" t="s">
        <v>112</v>
      </c>
      <c r="C12" s="83">
        <f>Suministros!C12</f>
        <v>125</v>
      </c>
      <c r="D12" s="114"/>
      <c r="E12" s="115"/>
    </row>
    <row r="13" spans="2:5" ht="12.75" customHeight="1">
      <c r="B13" s="10"/>
      <c r="C13" s="82"/>
      <c r="D13" s="114"/>
      <c r="E13" s="115"/>
    </row>
    <row r="14" spans="2:5" ht="12.75" customHeight="1">
      <c r="B14" s="10" t="s">
        <v>113</v>
      </c>
      <c r="C14" s="83">
        <f>Suministros!C12</f>
        <v>125</v>
      </c>
      <c r="D14" s="114"/>
      <c r="E14" s="115"/>
    </row>
    <row r="15" spans="2:5" ht="12.75" customHeight="1">
      <c r="B15" s="10"/>
      <c r="C15" s="82"/>
      <c r="D15" s="114"/>
      <c r="E15" s="115"/>
    </row>
    <row r="16" spans="2:5" ht="14.25">
      <c r="B16" s="17" t="s">
        <v>114</v>
      </c>
      <c r="C16" s="81">
        <f>2*'Duracion Trabajo de Campo'!C12</f>
        <v>40</v>
      </c>
      <c r="D16" s="114"/>
      <c r="E16" s="115"/>
    </row>
    <row r="17" spans="2:29" ht="12.75" customHeight="1">
      <c r="B17" s="10"/>
      <c r="C17" s="82"/>
      <c r="D17" s="114"/>
      <c r="E17" s="115"/>
    </row>
    <row r="18" spans="2:29" ht="14.25">
      <c r="B18" s="10" t="s">
        <v>115</v>
      </c>
      <c r="C18" s="83">
        <f>Suministros!C12+(2*'Duracion Trabajo de Campo'!C12)</f>
        <v>165</v>
      </c>
      <c r="D18" s="114"/>
      <c r="E18" s="115"/>
    </row>
    <row r="19" spans="2:29" ht="12.75" customHeight="1">
      <c r="B19" s="10"/>
      <c r="C19" s="82"/>
      <c r="D19" s="114"/>
      <c r="E19" s="115"/>
    </row>
    <row r="20" spans="2:29" ht="14.25">
      <c r="B20" s="10" t="s">
        <v>116</v>
      </c>
      <c r="C20" s="83">
        <f>'Duracion Trabajo de Campo'!C12</f>
        <v>20</v>
      </c>
      <c r="D20" s="114"/>
      <c r="E20" s="115"/>
    </row>
    <row r="21" spans="2:29" ht="13.5" thickBot="1">
      <c r="B21" s="118"/>
      <c r="C21" s="8"/>
      <c r="D21" s="114"/>
    </row>
    <row r="22" spans="2:29" ht="12.75" customHeight="1">
      <c r="C22" s="9"/>
      <c r="D22" s="114"/>
      <c r="E22" s="115"/>
    </row>
    <row r="23" spans="2:29">
      <c r="B23" s="256" t="s">
        <v>117</v>
      </c>
      <c r="C23" s="257"/>
    </row>
    <row r="24" spans="2:29" ht="25.5" customHeight="1">
      <c r="B24" s="258" t="s">
        <v>118</v>
      </c>
      <c r="C24" s="259"/>
    </row>
    <row r="25" spans="2:29">
      <c r="B25" s="271" t="s">
        <v>119</v>
      </c>
      <c r="C25" s="272"/>
    </row>
    <row r="26" spans="2:29" ht="12.75" customHeight="1"/>
    <row r="27" spans="2:29" ht="12.75" customHeight="1"/>
    <row r="28" spans="2:29">
      <c r="B28" s="50"/>
    </row>
    <row r="29" spans="2:29" s="4" customFormat="1">
      <c r="B29" s="50"/>
      <c r="D29"/>
      <c r="E29"/>
      <c r="F29"/>
      <c r="G29"/>
      <c r="H29"/>
      <c r="I29"/>
      <c r="J29"/>
      <c r="K29"/>
      <c r="L29"/>
      <c r="M29"/>
      <c r="N29"/>
      <c r="O29"/>
      <c r="P29"/>
      <c r="Q29"/>
      <c r="R29"/>
      <c r="S29"/>
      <c r="T29"/>
      <c r="U29"/>
      <c r="V29"/>
      <c r="W29"/>
      <c r="X29"/>
      <c r="Y29"/>
      <c r="Z29"/>
      <c r="AA29"/>
      <c r="AB29"/>
      <c r="AC29"/>
    </row>
  </sheetData>
  <mergeCells count="5">
    <mergeCell ref="B2:C2"/>
    <mergeCell ref="B4:C4"/>
    <mergeCell ref="B23:C23"/>
    <mergeCell ref="B24:C24"/>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4AB9-D8C5-4596-BD4A-CE131F49F0EC}">
  <dimension ref="B1:Y49"/>
  <sheetViews>
    <sheetView zoomScale="90" zoomScaleNormal="90" workbookViewId="0"/>
  </sheetViews>
  <sheetFormatPr defaultColWidth="8.7109375" defaultRowHeight="12.75"/>
  <cols>
    <col min="1" max="1" width="2.140625" style="135" customWidth="1"/>
    <col min="2" max="2" width="61.85546875" style="135" bestFit="1" customWidth="1"/>
    <col min="3" max="3" width="16.5703125" style="135" customWidth="1"/>
    <col min="4" max="4" width="4.5703125" style="135" customWidth="1"/>
    <col min="5" max="5" width="63.7109375" style="135" customWidth="1"/>
    <col min="6" max="6" width="16.5703125" style="135" customWidth="1"/>
    <col min="7" max="16384" width="8.7109375" style="135"/>
  </cols>
  <sheetData>
    <row r="1" spans="2:6" ht="19.5" customHeight="1">
      <c r="B1" s="134" t="s">
        <v>120</v>
      </c>
      <c r="C1" s="134"/>
    </row>
    <row r="2" spans="2:6" ht="12.75" customHeight="1">
      <c r="B2" s="275" t="s">
        <v>95</v>
      </c>
      <c r="C2" s="275"/>
      <c r="E2" s="136"/>
    </row>
    <row r="3" spans="2:6" ht="12.75" customHeight="1" thickBot="1"/>
    <row r="4" spans="2:6" ht="16.5" customHeight="1" thickBot="1">
      <c r="B4" s="276" t="s">
        <v>121</v>
      </c>
      <c r="C4" s="277"/>
      <c r="E4" s="278" t="s">
        <v>122</v>
      </c>
      <c r="F4" s="279"/>
    </row>
    <row r="5" spans="2:6" ht="12.75" customHeight="1" thickBot="1">
      <c r="C5" s="137"/>
      <c r="F5" s="137"/>
    </row>
    <row r="6" spans="2:6" ht="12.75" customHeight="1" thickBot="1">
      <c r="B6" s="154" t="s">
        <v>4</v>
      </c>
      <c r="C6" s="139" t="s">
        <v>98</v>
      </c>
      <c r="E6" s="138" t="s">
        <v>4</v>
      </c>
      <c r="F6" s="139" t="s">
        <v>98</v>
      </c>
    </row>
    <row r="7" spans="2:6" ht="12.75" customHeight="1">
      <c r="B7" s="140"/>
      <c r="C7" s="155"/>
      <c r="E7" s="140"/>
      <c r="F7" s="141"/>
    </row>
    <row r="8" spans="2:6" ht="19.5" customHeight="1">
      <c r="B8" s="140" t="s">
        <v>110</v>
      </c>
      <c r="C8" s="142">
        <f>ROUND(('Personal de Listado'!F10)*1.1,0)</f>
        <v>17</v>
      </c>
      <c r="E8" s="220" t="s">
        <v>123</v>
      </c>
      <c r="F8" s="156">
        <f>'Personal de Listado'!F11+2</f>
        <v>17</v>
      </c>
    </row>
    <row r="9" spans="2:6" ht="12.75" customHeight="1">
      <c r="B9" s="140"/>
      <c r="C9" s="143"/>
      <c r="E9" s="144" t="s">
        <v>124</v>
      </c>
      <c r="F9" s="157"/>
    </row>
    <row r="10" spans="2:6" ht="12.75" customHeight="1">
      <c r="B10" s="140" t="s">
        <v>111</v>
      </c>
      <c r="C10" s="142">
        <f>C8</f>
        <v>17</v>
      </c>
      <c r="E10" s="140"/>
      <c r="F10" s="157"/>
    </row>
    <row r="11" spans="2:6" ht="12.75" customHeight="1">
      <c r="B11" s="140"/>
      <c r="C11" s="143"/>
      <c r="E11" s="140" t="s">
        <v>125</v>
      </c>
      <c r="F11" s="156">
        <f>F8</f>
        <v>17</v>
      </c>
    </row>
    <row r="12" spans="2:6" ht="12.75" customHeight="1">
      <c r="B12" s="140" t="s">
        <v>112</v>
      </c>
      <c r="C12" s="142">
        <f>C8</f>
        <v>17</v>
      </c>
      <c r="E12" s="140"/>
      <c r="F12" s="157"/>
    </row>
    <row r="13" spans="2:6" ht="28.5" customHeight="1">
      <c r="B13" s="140"/>
      <c r="C13" s="143"/>
      <c r="E13" s="145" t="s">
        <v>126</v>
      </c>
      <c r="F13" s="156">
        <f>F8</f>
        <v>17</v>
      </c>
    </row>
    <row r="14" spans="2:6" ht="12.75" customHeight="1">
      <c r="B14" s="140" t="s">
        <v>113</v>
      </c>
      <c r="C14" s="142">
        <f>C8</f>
        <v>17</v>
      </c>
      <c r="E14" s="146"/>
      <c r="F14" s="157"/>
    </row>
    <row r="15" spans="2:6" ht="12.75" customHeight="1" thickBot="1">
      <c r="B15" s="140"/>
      <c r="C15" s="147"/>
      <c r="E15" s="148" t="s">
        <v>127</v>
      </c>
      <c r="F15" s="158">
        <f>F8</f>
        <v>17</v>
      </c>
    </row>
    <row r="16" spans="2:6" ht="14.25">
      <c r="B16" s="140" t="s">
        <v>128</v>
      </c>
      <c r="C16" s="142">
        <f>('Personal de Listado'!C10)</f>
        <v>15</v>
      </c>
      <c r="F16" s="149"/>
    </row>
    <row r="17" spans="2:25" ht="17.25" customHeight="1">
      <c r="B17" s="140"/>
      <c r="C17" s="143"/>
      <c r="E17" s="280" t="s">
        <v>129</v>
      </c>
      <c r="F17" s="281"/>
    </row>
    <row r="18" spans="2:25" ht="17.25" customHeight="1">
      <c r="B18" s="140" t="s">
        <v>130</v>
      </c>
      <c r="C18" s="142">
        <f>('Personal de Listado'!F10)+(2*'Personal de Listado'!C10)</f>
        <v>45</v>
      </c>
      <c r="E18" s="282"/>
      <c r="F18" s="283"/>
    </row>
    <row r="19" spans="2:25" ht="17.25" customHeight="1">
      <c r="B19" s="140"/>
      <c r="C19" s="143"/>
      <c r="E19" s="282"/>
      <c r="F19" s="283"/>
    </row>
    <row r="20" spans="2:25" ht="19.5" customHeight="1">
      <c r="B20" s="140" t="s">
        <v>131</v>
      </c>
      <c r="C20" s="142">
        <f>'Personal de Listado'!C10</f>
        <v>15</v>
      </c>
      <c r="E20" s="284" t="s">
        <v>132</v>
      </c>
      <c r="F20" s="285"/>
    </row>
    <row r="21" spans="2:25" ht="12.75" customHeight="1" thickBot="1">
      <c r="B21" s="152"/>
      <c r="C21" s="153"/>
    </row>
    <row r="22" spans="2:25" ht="12.75" customHeight="1">
      <c r="C22" s="149"/>
    </row>
    <row r="23" spans="2:25" ht="25.5" customHeight="1">
      <c r="B23" s="286" t="s">
        <v>133</v>
      </c>
      <c r="C23" s="287"/>
    </row>
    <row r="24" spans="2:25" ht="25.5" customHeight="1">
      <c r="B24" s="288"/>
      <c r="C24" s="289"/>
    </row>
    <row r="25" spans="2:25" ht="25.5" customHeight="1">
      <c r="B25" s="288"/>
      <c r="C25" s="289"/>
    </row>
    <row r="26" spans="2:25">
      <c r="B26" s="256" t="s">
        <v>134</v>
      </c>
      <c r="C26" s="257"/>
    </row>
    <row r="27" spans="2:25" ht="27.75" customHeight="1">
      <c r="B27" s="258" t="s">
        <v>135</v>
      </c>
      <c r="C27" s="259"/>
    </row>
    <row r="28" spans="2:25" ht="19.5" customHeight="1">
      <c r="B28" s="271" t="s">
        <v>136</v>
      </c>
      <c r="C28" s="272"/>
      <c r="D28" s="150"/>
    </row>
    <row r="29" spans="2:25" s="137" customFormat="1">
      <c r="B29" s="135"/>
      <c r="C29" s="135"/>
      <c r="D29" s="150"/>
      <c r="E29" s="135"/>
      <c r="F29" s="135"/>
      <c r="G29" s="135"/>
      <c r="H29" s="135"/>
      <c r="I29" s="135"/>
      <c r="J29" s="135"/>
      <c r="K29" s="135"/>
      <c r="L29" s="135"/>
      <c r="M29" s="135"/>
      <c r="N29" s="135"/>
      <c r="O29" s="135"/>
      <c r="P29" s="135"/>
      <c r="Q29" s="135"/>
      <c r="R29" s="135"/>
      <c r="S29" s="135"/>
      <c r="T29" s="135"/>
      <c r="U29" s="135"/>
      <c r="V29" s="135"/>
      <c r="W29" s="135"/>
      <c r="X29" s="135"/>
      <c r="Y29" s="135"/>
    </row>
    <row r="49" ht="12.75" customHeight="1"/>
  </sheetData>
  <mergeCells count="9">
    <mergeCell ref="B27:C27"/>
    <mergeCell ref="B28:C28"/>
    <mergeCell ref="B2:C2"/>
    <mergeCell ref="B4:C4"/>
    <mergeCell ref="E4:F4"/>
    <mergeCell ref="E17:F19"/>
    <mergeCell ref="E20:F20"/>
    <mergeCell ref="B23:C25"/>
    <mergeCell ref="B26:C26"/>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57"/>
  <sheetViews>
    <sheetView zoomScaleNormal="100" zoomScalePageLayoutView="150" workbookViewId="0"/>
  </sheetViews>
  <sheetFormatPr defaultColWidth="8.7109375" defaultRowHeight="12.75"/>
  <cols>
    <col min="1" max="1" width="2.140625" customWidth="1"/>
    <col min="2" max="2" width="61.7109375" customWidth="1"/>
    <col min="3" max="3" width="15.42578125" customWidth="1"/>
    <col min="4" max="4" width="2.140625" customWidth="1"/>
    <col min="5" max="5" width="81.140625" bestFit="1" customWidth="1"/>
    <col min="6" max="6" width="15.5703125" style="4" customWidth="1"/>
    <col min="7" max="7" width="18.85546875" style="4" customWidth="1"/>
    <col min="8" max="8" width="15.42578125" customWidth="1"/>
    <col min="9" max="9" width="15.85546875" bestFit="1" customWidth="1"/>
    <col min="10" max="10" width="15.5703125" bestFit="1" customWidth="1"/>
    <col min="11" max="11" width="18.28515625" customWidth="1"/>
    <col min="12" max="12" width="11.42578125" bestFit="1" customWidth="1"/>
  </cols>
  <sheetData>
    <row r="1" spans="2:12" ht="19.5" customHeight="1">
      <c r="B1" s="105" t="s">
        <v>137</v>
      </c>
      <c r="C1" s="105"/>
    </row>
    <row r="2" spans="2:12" ht="24" customHeight="1">
      <c r="B2" s="244" t="s">
        <v>138</v>
      </c>
      <c r="C2" s="244"/>
      <c r="D2" s="244"/>
      <c r="E2" s="244"/>
      <c r="F2" s="244"/>
      <c r="G2" s="244"/>
    </row>
    <row r="3" spans="2:12" ht="12.75" customHeight="1" thickBot="1">
      <c r="E3" s="49"/>
      <c r="F3" s="49"/>
    </row>
    <row r="4" spans="2:12" ht="13.5" thickBot="1">
      <c r="B4" s="265" t="s">
        <v>139</v>
      </c>
      <c r="C4" s="266"/>
      <c r="E4" s="230" t="s">
        <v>3</v>
      </c>
      <c r="F4" s="297"/>
      <c r="G4" s="297"/>
      <c r="H4" s="297"/>
      <c r="I4" s="297"/>
      <c r="J4" s="297"/>
      <c r="K4" s="297"/>
      <c r="L4" s="273"/>
    </row>
    <row r="5" spans="2:12" ht="14.25" customHeight="1" thickBot="1">
      <c r="C5" s="4"/>
    </row>
    <row r="6" spans="2:12" ht="14.25" customHeight="1" thickBot="1">
      <c r="B6" s="151" t="s">
        <v>4</v>
      </c>
      <c r="C6" s="36" t="s">
        <v>5</v>
      </c>
      <c r="E6" s="132" t="s">
        <v>4</v>
      </c>
      <c r="F6" s="22" t="s">
        <v>140</v>
      </c>
      <c r="G6" s="36" t="s">
        <v>141</v>
      </c>
      <c r="H6" s="107" t="s">
        <v>142</v>
      </c>
      <c r="I6" s="298" t="s">
        <v>143</v>
      </c>
      <c r="J6" s="299"/>
      <c r="K6" s="107" t="s">
        <v>144</v>
      </c>
      <c r="L6" s="107" t="s">
        <v>145</v>
      </c>
    </row>
    <row r="7" spans="2:12" ht="14.25" customHeight="1">
      <c r="B7" s="43"/>
      <c r="C7" s="90"/>
      <c r="E7" s="132"/>
      <c r="F7" s="84"/>
      <c r="G7" s="93"/>
      <c r="H7" s="108"/>
      <c r="I7" s="215"/>
      <c r="J7" s="90"/>
      <c r="K7" s="85"/>
      <c r="L7" s="108"/>
    </row>
    <row r="8" spans="2:12" ht="14.25" customHeight="1">
      <c r="B8" s="48" t="s">
        <v>30</v>
      </c>
      <c r="C8" s="61">
        <f>+'Duracion Trabajo de Campo'!C8/'Duracion Trabajo de Campo'!C16</f>
        <v>600</v>
      </c>
      <c r="E8" s="77" t="s">
        <v>146</v>
      </c>
      <c r="F8" s="75"/>
      <c r="G8" s="84"/>
      <c r="H8" s="85"/>
      <c r="I8" s="216"/>
      <c r="J8" s="85"/>
      <c r="K8" s="85"/>
      <c r="L8" s="85"/>
    </row>
    <row r="9" spans="2:12" ht="14.25" customHeight="1">
      <c r="B9" s="55"/>
      <c r="C9" s="91"/>
      <c r="E9" s="210" t="s">
        <v>147</v>
      </c>
      <c r="F9" s="75"/>
      <c r="G9" s="84"/>
      <c r="H9" s="85"/>
      <c r="I9" s="216"/>
      <c r="J9" s="85"/>
      <c r="K9" s="85"/>
      <c r="L9" s="85"/>
    </row>
    <row r="10" spans="2:12" ht="14.25" customHeight="1">
      <c r="B10" s="48" t="s">
        <v>148</v>
      </c>
      <c r="C10" s="61">
        <f>+'Duracion Trabajo de Campo'!C12</f>
        <v>20</v>
      </c>
      <c r="E10" s="212" t="s">
        <v>149</v>
      </c>
      <c r="F10" s="52">
        <f>ROUNDUP($C$10*(1+$C$27),0)</f>
        <v>22</v>
      </c>
      <c r="G10" s="222">
        <f>F10/$C$10</f>
        <v>1.1000000000000001</v>
      </c>
      <c r="H10" s="223">
        <v>1120</v>
      </c>
      <c r="I10" s="217">
        <v>1</v>
      </c>
      <c r="J10" s="86" t="s">
        <v>150</v>
      </c>
      <c r="K10" s="222">
        <f>ROUNDUP(F10/I10,0)</f>
        <v>22</v>
      </c>
      <c r="L10" s="222">
        <f>H10*K10</f>
        <v>24640</v>
      </c>
    </row>
    <row r="11" spans="2:12" ht="14.25" customHeight="1" thickBot="1">
      <c r="B11" s="76"/>
      <c r="C11" s="92"/>
      <c r="E11" s="211" t="s">
        <v>151</v>
      </c>
      <c r="F11" s="52">
        <f>ROUNDUP($C$10*(1+$C$27),0)</f>
        <v>22</v>
      </c>
      <c r="G11" s="222">
        <f>F11/$C$10</f>
        <v>1.1000000000000001</v>
      </c>
      <c r="H11" s="223">
        <v>4.2</v>
      </c>
      <c r="I11" s="217">
        <v>1</v>
      </c>
      <c r="J11" s="86" t="s">
        <v>150</v>
      </c>
      <c r="K11" s="222">
        <f>ROUNDUP(F11/I11,0)</f>
        <v>22</v>
      </c>
      <c r="L11" s="222">
        <f t="shared" ref="L11:L13" si="0">H11*K11</f>
        <v>92.4</v>
      </c>
    </row>
    <row r="12" spans="2:12" ht="14.25" customHeight="1" thickBot="1">
      <c r="B12" s="63"/>
      <c r="C12" s="54"/>
      <c r="E12" s="213" t="s">
        <v>152</v>
      </c>
      <c r="F12" s="52">
        <f>ROUNDUP($C$10*(1+$C$27),0)</f>
        <v>22</v>
      </c>
      <c r="G12" s="222">
        <f>F12/$C$10</f>
        <v>1.1000000000000001</v>
      </c>
      <c r="H12" s="223">
        <v>37.79</v>
      </c>
      <c r="I12" s="217">
        <v>50</v>
      </c>
      <c r="J12" s="86" t="s">
        <v>153</v>
      </c>
      <c r="K12" s="222">
        <f>ROUNDUP(F12/I12,0)</f>
        <v>1</v>
      </c>
      <c r="L12" s="222">
        <f t="shared" si="0"/>
        <v>37.79</v>
      </c>
    </row>
    <row r="13" spans="2:12" ht="14.25" customHeight="1" thickBot="1">
      <c r="B13" s="228" t="s">
        <v>2</v>
      </c>
      <c r="C13" s="229"/>
      <c r="E13" s="213" t="s">
        <v>154</v>
      </c>
      <c r="F13" s="52">
        <f>ROUNDUP($C$10*(1+$C$27),0)</f>
        <v>22</v>
      </c>
      <c r="G13" s="222">
        <f>F13/$C$10</f>
        <v>1.1000000000000001</v>
      </c>
      <c r="H13" s="223">
        <v>24.43</v>
      </c>
      <c r="I13" s="217">
        <v>1</v>
      </c>
      <c r="J13" s="86" t="s">
        <v>150</v>
      </c>
      <c r="K13" s="222">
        <f>ROUNDUP(F13/I13,0)</f>
        <v>22</v>
      </c>
      <c r="L13" s="222">
        <f t="shared" si="0"/>
        <v>537.46</v>
      </c>
    </row>
    <row r="14" spans="2:12" ht="14.25" customHeight="1" thickBot="1">
      <c r="C14" s="4"/>
      <c r="E14" s="116" t="s">
        <v>155</v>
      </c>
      <c r="F14" s="84"/>
      <c r="G14" s="84"/>
      <c r="H14" s="109"/>
      <c r="I14" s="218"/>
      <c r="J14" s="108"/>
      <c r="K14" s="85"/>
      <c r="L14" s="117">
        <f>SUM(L10:L13)</f>
        <v>25307.65</v>
      </c>
    </row>
    <row r="15" spans="2:12" ht="14.25" customHeight="1" thickBot="1">
      <c r="B15" s="35" t="s">
        <v>4</v>
      </c>
      <c r="C15" s="22" t="s">
        <v>5</v>
      </c>
      <c r="E15" s="78"/>
      <c r="F15" s="87"/>
      <c r="G15" s="87"/>
      <c r="H15" s="214"/>
      <c r="I15" s="31"/>
      <c r="J15" s="32"/>
      <c r="K15" s="214"/>
      <c r="L15" s="1"/>
    </row>
    <row r="16" spans="2:12" ht="14.25" customHeight="1">
      <c r="B16" s="31"/>
      <c r="C16" s="93"/>
      <c r="E16" s="77" t="s">
        <v>156</v>
      </c>
      <c r="F16" s="87"/>
      <c r="G16" s="84"/>
      <c r="H16" s="109"/>
      <c r="I16" s="216"/>
      <c r="J16" s="85"/>
      <c r="K16" s="85"/>
      <c r="L16" s="84"/>
    </row>
    <row r="17" spans="2:12" ht="14.25" customHeight="1">
      <c r="B17" s="100" t="s">
        <v>157</v>
      </c>
      <c r="C17" s="94">
        <v>5</v>
      </c>
      <c r="E17" s="210" t="s">
        <v>158</v>
      </c>
      <c r="F17" s="84"/>
      <c r="G17" s="84"/>
      <c r="H17" s="109"/>
      <c r="I17" s="216"/>
      <c r="J17" s="85"/>
      <c r="K17" s="85"/>
      <c r="L17" s="84"/>
    </row>
    <row r="18" spans="2:12" ht="14.25" customHeight="1">
      <c r="B18" s="34"/>
      <c r="C18" s="75"/>
      <c r="E18" s="213" t="s">
        <v>159</v>
      </c>
      <c r="F18" s="52">
        <f>ROUNDUP(SUM(C17:C21)*C8*(1+C29),0)</f>
        <v>8250</v>
      </c>
      <c r="G18" s="222">
        <f t="shared" ref="G18:G23" si="1">F18/$C$10</f>
        <v>412.5</v>
      </c>
      <c r="H18" s="223">
        <v>195.1</v>
      </c>
      <c r="I18" s="221">
        <v>150</v>
      </c>
      <c r="J18" s="86" t="s">
        <v>153</v>
      </c>
      <c r="K18" s="222">
        <f t="shared" ref="K18:K23" si="2">ROUNDUP(F18/I18,0)</f>
        <v>55</v>
      </c>
      <c r="L18" s="222">
        <f>H18*K18</f>
        <v>10730.5</v>
      </c>
    </row>
    <row r="19" spans="2:12" ht="14.25" customHeight="1">
      <c r="B19" s="100" t="s">
        <v>160</v>
      </c>
      <c r="C19" s="94">
        <v>5</v>
      </c>
      <c r="E19" s="213" t="s">
        <v>161</v>
      </c>
      <c r="F19" s="27">
        <f>ROUNDUP(SUM(C17:C21)*C8*(1+C29),0)</f>
        <v>8250</v>
      </c>
      <c r="G19" s="222">
        <f t="shared" si="1"/>
        <v>412.5</v>
      </c>
      <c r="H19" s="223">
        <v>1562.5</v>
      </c>
      <c r="I19" s="221">
        <v>1404</v>
      </c>
      <c r="J19" s="86" t="s">
        <v>153</v>
      </c>
      <c r="K19" s="222">
        <f t="shared" si="2"/>
        <v>6</v>
      </c>
      <c r="L19" s="222">
        <f t="shared" ref="L19:L23" si="3">H19*K19</f>
        <v>9375</v>
      </c>
    </row>
    <row r="20" spans="2:12" ht="14.25" customHeight="1">
      <c r="B20" s="31"/>
      <c r="C20" s="84"/>
      <c r="E20" s="213" t="s">
        <v>162</v>
      </c>
      <c r="F20" s="126">
        <f>ROUNDUP(SUM(C17:C21)*C8*(1+C29),0)</f>
        <v>8250</v>
      </c>
      <c r="G20" s="222">
        <f t="shared" si="1"/>
        <v>412.5</v>
      </c>
      <c r="H20" s="223">
        <v>6.81</v>
      </c>
      <c r="I20" s="221">
        <v>100</v>
      </c>
      <c r="J20" s="86" t="s">
        <v>153</v>
      </c>
      <c r="K20" s="222">
        <f t="shared" si="2"/>
        <v>83</v>
      </c>
      <c r="L20" s="222">
        <f t="shared" si="3"/>
        <v>565.23</v>
      </c>
    </row>
    <row r="21" spans="2:12" ht="14.25" customHeight="1">
      <c r="B21" s="78" t="s">
        <v>163</v>
      </c>
      <c r="C21" s="94">
        <v>1</v>
      </c>
      <c r="E21" s="213" t="s">
        <v>164</v>
      </c>
      <c r="F21" s="126">
        <f>ROUNDUP(SUM(C17:C21)*C8*(1+C29),0)</f>
        <v>8250</v>
      </c>
      <c r="G21" s="222">
        <f t="shared" si="1"/>
        <v>412.5</v>
      </c>
      <c r="H21" s="223">
        <v>8.09</v>
      </c>
      <c r="I21" s="221">
        <v>100</v>
      </c>
      <c r="J21" s="86" t="s">
        <v>153</v>
      </c>
      <c r="K21" s="222">
        <f t="shared" si="2"/>
        <v>83</v>
      </c>
      <c r="L21" s="222">
        <f t="shared" si="3"/>
        <v>671.47</v>
      </c>
    </row>
    <row r="22" spans="2:12" ht="14.25" customHeight="1" thickBot="1">
      <c r="B22" s="33"/>
      <c r="C22" s="95"/>
      <c r="E22" s="213" t="s">
        <v>165</v>
      </c>
      <c r="F22" s="126">
        <f>ROUNDUP(SUM(C17:C19)*C8*(1+C29),0)</f>
        <v>7500</v>
      </c>
      <c r="G22" s="222">
        <f t="shared" si="1"/>
        <v>375</v>
      </c>
      <c r="H22" s="223">
        <v>80.849999999999994</v>
      </c>
      <c r="I22" s="221">
        <v>500</v>
      </c>
      <c r="J22" s="86" t="s">
        <v>153</v>
      </c>
      <c r="K22" s="222">
        <f t="shared" si="2"/>
        <v>15</v>
      </c>
      <c r="L22" s="222">
        <f t="shared" si="3"/>
        <v>1212.75</v>
      </c>
    </row>
    <row r="23" spans="2:12" ht="14.25" customHeight="1">
      <c r="C23" s="106"/>
      <c r="E23" s="213" t="s">
        <v>166</v>
      </c>
      <c r="F23" s="126">
        <f>ROUNDUP(SUM(C17:C21)*C8*(1+C29),0)</f>
        <v>8250</v>
      </c>
      <c r="G23" s="222">
        <f t="shared" si="1"/>
        <v>412.5</v>
      </c>
      <c r="H23" s="223">
        <v>0.88</v>
      </c>
      <c r="I23" s="221">
        <v>100</v>
      </c>
      <c r="J23" s="86" t="s">
        <v>153</v>
      </c>
      <c r="K23" s="222">
        <f t="shared" si="2"/>
        <v>83</v>
      </c>
      <c r="L23" s="222">
        <f t="shared" si="3"/>
        <v>73.040000000000006</v>
      </c>
    </row>
    <row r="24" spans="2:12" ht="14.25" customHeight="1" thickBot="1">
      <c r="C24" s="106"/>
      <c r="E24" s="116" t="s">
        <v>167</v>
      </c>
      <c r="F24" s="84"/>
      <c r="G24" s="84"/>
      <c r="H24" s="85"/>
      <c r="I24" s="218"/>
      <c r="J24" s="108"/>
      <c r="K24" s="85"/>
      <c r="L24" s="117">
        <f>SUM(L18:L23)</f>
        <v>22627.99</v>
      </c>
    </row>
    <row r="25" spans="2:12" ht="14.25" customHeight="1" thickBot="1">
      <c r="B25" s="35" t="s">
        <v>4</v>
      </c>
      <c r="C25" s="22" t="s">
        <v>5</v>
      </c>
      <c r="E25" s="78"/>
      <c r="F25" s="84"/>
      <c r="G25" s="84"/>
      <c r="H25" s="85"/>
      <c r="I25" s="31"/>
      <c r="J25" s="32"/>
      <c r="K25" s="85"/>
      <c r="L25" s="1"/>
    </row>
    <row r="26" spans="2:12" ht="14.25" customHeight="1">
      <c r="B26" s="78"/>
      <c r="C26" s="188"/>
      <c r="E26" s="78" t="s">
        <v>168</v>
      </c>
      <c r="F26" s="84"/>
      <c r="G26" s="84"/>
      <c r="H26" s="85"/>
      <c r="I26" s="216"/>
      <c r="J26" s="85"/>
      <c r="K26" s="85"/>
      <c r="L26" s="84">
        <f>(L14+L24)*0.1</f>
        <v>4793.5640000000003</v>
      </c>
    </row>
    <row r="27" spans="2:12" ht="14.25" customHeight="1">
      <c r="B27" s="34" t="s">
        <v>169</v>
      </c>
      <c r="C27" s="189">
        <v>0.1</v>
      </c>
      <c r="E27" s="31"/>
      <c r="F27" s="84"/>
      <c r="G27" s="84"/>
      <c r="H27" s="85"/>
      <c r="I27" s="216"/>
      <c r="J27" s="85"/>
      <c r="K27" s="85"/>
      <c r="L27" s="85"/>
    </row>
    <row r="28" spans="2:12" ht="13.5" thickBot="1">
      <c r="B28" s="34"/>
      <c r="C28" s="190"/>
      <c r="E28" s="33"/>
      <c r="F28" s="88"/>
      <c r="G28" s="88"/>
      <c r="H28" s="89"/>
      <c r="I28" s="219"/>
      <c r="J28" s="89"/>
      <c r="K28" s="85"/>
      <c r="L28" s="85"/>
    </row>
    <row r="29" spans="2:12">
      <c r="B29" s="34" t="s">
        <v>170</v>
      </c>
      <c r="C29" s="189">
        <v>0.25</v>
      </c>
      <c r="K29" s="72"/>
      <c r="L29" s="110"/>
    </row>
    <row r="30" spans="2:12" ht="13.5" thickBot="1">
      <c r="B30" s="191" t="s">
        <v>171</v>
      </c>
      <c r="C30" s="192"/>
      <c r="E30" s="245" t="s">
        <v>172</v>
      </c>
      <c r="F30" s="246"/>
      <c r="G30" s="246"/>
      <c r="H30" s="247"/>
      <c r="K30" s="111" t="s">
        <v>173</v>
      </c>
      <c r="L30" s="112">
        <f>L14+L24+L26</f>
        <v>52729.203999999998</v>
      </c>
    </row>
    <row r="31" spans="2:12" ht="16.5" customHeight="1">
      <c r="B31" s="116"/>
      <c r="C31" s="192"/>
      <c r="E31" s="267"/>
      <c r="F31" s="296"/>
      <c r="G31" s="296"/>
      <c r="H31" s="268"/>
    </row>
    <row r="32" spans="2:12">
      <c r="B32" s="34" t="s">
        <v>174</v>
      </c>
      <c r="C32" s="189">
        <v>0.1</v>
      </c>
      <c r="E32" s="262"/>
      <c r="F32" s="292"/>
      <c r="G32" s="292"/>
      <c r="H32" s="263"/>
    </row>
    <row r="33" spans="2:12" ht="13.5" thickBot="1">
      <c r="B33" s="123"/>
      <c r="C33" s="124"/>
      <c r="E33" s="193"/>
      <c r="F33" s="193"/>
      <c r="G33" s="193"/>
      <c r="H33" s="193"/>
    </row>
    <row r="34" spans="2:12" ht="13.5" thickBot="1"/>
    <row r="35" spans="2:12" ht="13.5" thickBot="1">
      <c r="E35" s="159" t="s">
        <v>3</v>
      </c>
      <c r="F35" s="160"/>
      <c r="G35" s="160"/>
      <c r="H35" s="160"/>
      <c r="I35" s="160"/>
      <c r="J35" s="160"/>
      <c r="K35" s="160"/>
      <c r="L35" s="161"/>
    </row>
    <row r="36" spans="2:12" ht="13.5" thickBot="1">
      <c r="E36" s="50"/>
      <c r="F36" s="194"/>
      <c r="G36" s="194"/>
      <c r="H36" s="50"/>
      <c r="I36" s="50"/>
      <c r="J36" s="194"/>
      <c r="K36" s="50"/>
      <c r="L36" s="50"/>
    </row>
    <row r="37" spans="2:12" ht="15" thickBot="1">
      <c r="E37" s="132" t="s">
        <v>4</v>
      </c>
      <c r="F37" s="22" t="s">
        <v>140</v>
      </c>
      <c r="G37" s="107" t="s">
        <v>175</v>
      </c>
      <c r="H37" s="107" t="s">
        <v>176</v>
      </c>
      <c r="I37" s="290" t="s">
        <v>177</v>
      </c>
      <c r="J37" s="291"/>
      <c r="K37" s="107" t="s">
        <v>144</v>
      </c>
      <c r="L37" s="107" t="s">
        <v>145</v>
      </c>
    </row>
    <row r="38" spans="2:12">
      <c r="E38" s="195"/>
      <c r="F38" s="188"/>
      <c r="G38" s="196"/>
      <c r="H38" s="125"/>
      <c r="I38" s="196"/>
      <c r="J38" s="196"/>
      <c r="K38" s="188"/>
      <c r="L38" s="125"/>
    </row>
    <row r="39" spans="2:12">
      <c r="E39" s="19" t="s">
        <v>178</v>
      </c>
      <c r="F39" s="87"/>
      <c r="G39" s="197"/>
      <c r="H39" s="198"/>
      <c r="I39" s="197"/>
      <c r="J39" s="197"/>
      <c r="K39" s="199"/>
      <c r="L39" s="199"/>
    </row>
    <row r="40" spans="2:12">
      <c r="E40" s="200" t="s">
        <v>179</v>
      </c>
      <c r="F40" s="199"/>
      <c r="G40" s="197"/>
      <c r="H40" s="198"/>
      <c r="I40" s="197"/>
      <c r="J40" s="197"/>
      <c r="K40" s="199"/>
      <c r="L40" s="199"/>
    </row>
    <row r="41" spans="2:12" ht="15">
      <c r="E41" s="201" t="s">
        <v>180</v>
      </c>
      <c r="F41" s="52">
        <f>ROUNDUP(5*C10*(1+C32),0)</f>
        <v>110</v>
      </c>
      <c r="G41" s="221">
        <f t="shared" ref="G41:G48" si="4">F41/$C$10</f>
        <v>5.5</v>
      </c>
      <c r="H41" s="224">
        <v>3.18</v>
      </c>
      <c r="I41" s="221">
        <v>1</v>
      </c>
      <c r="J41" s="133" t="s">
        <v>181</v>
      </c>
      <c r="K41" s="222">
        <f t="shared" ref="K41:K48" si="5">ROUNDUP(F41/I41,0)</f>
        <v>110</v>
      </c>
      <c r="L41" s="222">
        <f>H41*K41</f>
        <v>349.8</v>
      </c>
    </row>
    <row r="42" spans="2:12" ht="15">
      <c r="E42" s="201" t="s">
        <v>182</v>
      </c>
      <c r="F42" s="27">
        <f>ROUNDUP(C8*(1+C29),0)</f>
        <v>750</v>
      </c>
      <c r="G42" s="221">
        <f t="shared" si="4"/>
        <v>37.5</v>
      </c>
      <c r="H42" s="224">
        <v>2.16</v>
      </c>
      <c r="I42" s="221">
        <v>30</v>
      </c>
      <c r="J42" s="133" t="s">
        <v>183</v>
      </c>
      <c r="K42" s="222">
        <f t="shared" si="5"/>
        <v>25</v>
      </c>
      <c r="L42" s="222">
        <f>H42*K42</f>
        <v>54</v>
      </c>
    </row>
    <row r="43" spans="2:12" ht="15">
      <c r="E43" s="201" t="s">
        <v>184</v>
      </c>
      <c r="F43" s="126">
        <f>ROUNDUP(C10*3*(1+C32),0)</f>
        <v>66</v>
      </c>
      <c r="G43" s="221">
        <f t="shared" si="4"/>
        <v>3.3</v>
      </c>
      <c r="H43" s="224">
        <v>28.57</v>
      </c>
      <c r="I43" s="221">
        <v>10</v>
      </c>
      <c r="J43" s="133" t="s">
        <v>185</v>
      </c>
      <c r="K43" s="222">
        <f t="shared" si="5"/>
        <v>7</v>
      </c>
      <c r="L43" s="222">
        <f t="shared" ref="L43:L46" si="6">H43*K43</f>
        <v>199.99</v>
      </c>
    </row>
    <row r="44" spans="2:12" ht="15">
      <c r="E44" s="201" t="s">
        <v>186</v>
      </c>
      <c r="F44" s="126">
        <f>ROUNDUP(C10*(1+C32),0)</f>
        <v>22</v>
      </c>
      <c r="G44" s="221">
        <f t="shared" si="4"/>
        <v>1.1000000000000001</v>
      </c>
      <c r="H44" s="224">
        <v>2.96</v>
      </c>
      <c r="I44" s="221">
        <v>1</v>
      </c>
      <c r="J44" s="133" t="s">
        <v>187</v>
      </c>
      <c r="K44" s="222">
        <f t="shared" si="5"/>
        <v>22</v>
      </c>
      <c r="L44" s="222">
        <f t="shared" si="6"/>
        <v>65.12</v>
      </c>
    </row>
    <row r="45" spans="2:12" ht="15">
      <c r="E45" s="201" t="s">
        <v>188</v>
      </c>
      <c r="F45" s="126">
        <f>ROUNDUP(C10*12*(1+C32),0)</f>
        <v>264</v>
      </c>
      <c r="G45" s="221">
        <f t="shared" si="4"/>
        <v>13.2</v>
      </c>
      <c r="H45" s="224">
        <v>7.27</v>
      </c>
      <c r="I45" s="221">
        <v>1</v>
      </c>
      <c r="J45" s="133" t="s">
        <v>189</v>
      </c>
      <c r="K45" s="222">
        <f t="shared" si="5"/>
        <v>264</v>
      </c>
      <c r="L45" s="222">
        <f t="shared" si="6"/>
        <v>1919.28</v>
      </c>
    </row>
    <row r="46" spans="2:12" ht="15">
      <c r="E46" s="201" t="s">
        <v>190</v>
      </c>
      <c r="F46" s="126">
        <f>ROUNDUP(C8*(1+C32),0)</f>
        <v>660</v>
      </c>
      <c r="G46" s="221">
        <f t="shared" si="4"/>
        <v>33</v>
      </c>
      <c r="H46" s="224">
        <v>3</v>
      </c>
      <c r="I46" s="221">
        <v>1</v>
      </c>
      <c r="J46" s="133" t="s">
        <v>181</v>
      </c>
      <c r="K46" s="222">
        <f t="shared" si="5"/>
        <v>660</v>
      </c>
      <c r="L46" s="222">
        <f t="shared" si="6"/>
        <v>1980</v>
      </c>
    </row>
    <row r="47" spans="2:12" ht="15">
      <c r="E47" s="201" t="s">
        <v>191</v>
      </c>
      <c r="F47" s="126">
        <f>ROUNDUP(C10*2*(1+C32),0)</f>
        <v>44</v>
      </c>
      <c r="G47" s="221">
        <f t="shared" si="4"/>
        <v>2.2000000000000002</v>
      </c>
      <c r="H47" s="224">
        <v>2.66</v>
      </c>
      <c r="I47" s="221">
        <v>1</v>
      </c>
      <c r="J47" s="133" t="s">
        <v>187</v>
      </c>
      <c r="K47" s="222">
        <f t="shared" si="5"/>
        <v>44</v>
      </c>
      <c r="L47" s="222">
        <f>H47*K47</f>
        <v>117.04</v>
      </c>
    </row>
    <row r="48" spans="2:12" ht="15">
      <c r="E48" s="201" t="s">
        <v>192</v>
      </c>
      <c r="F48" s="126">
        <f>ROUNDUP(C10*5*(1+C32),0)</f>
        <v>110</v>
      </c>
      <c r="G48" s="221">
        <f t="shared" si="4"/>
        <v>5.5</v>
      </c>
      <c r="H48" s="224">
        <v>9.1999999999999993</v>
      </c>
      <c r="I48" s="221">
        <v>10</v>
      </c>
      <c r="J48" s="133" t="s">
        <v>185</v>
      </c>
      <c r="K48" s="222">
        <f t="shared" si="5"/>
        <v>11</v>
      </c>
      <c r="L48" s="222">
        <f t="shared" ref="L48" si="7">H48*K48</f>
        <v>101.19999999999999</v>
      </c>
    </row>
    <row r="49" spans="5:12">
      <c r="E49" s="202" t="s">
        <v>193</v>
      </c>
      <c r="F49" s="199"/>
      <c r="G49" s="197"/>
      <c r="H49" s="199"/>
      <c r="I49" s="197"/>
      <c r="J49" s="197"/>
      <c r="K49" s="199"/>
      <c r="L49" s="127">
        <f>SUM(L41:L48)</f>
        <v>4786.43</v>
      </c>
    </row>
    <row r="50" spans="5:12">
      <c r="E50" s="19"/>
      <c r="F50" s="199"/>
      <c r="G50" s="197"/>
      <c r="H50" s="199"/>
      <c r="I50" s="197"/>
      <c r="J50" s="197"/>
      <c r="K50" s="199"/>
      <c r="L50" s="199"/>
    </row>
    <row r="51" spans="5:12">
      <c r="E51" s="203" t="s">
        <v>194</v>
      </c>
      <c r="F51" s="128"/>
      <c r="G51" s="129"/>
      <c r="H51" s="128"/>
      <c r="I51" s="129"/>
      <c r="J51" s="129"/>
      <c r="K51" s="128"/>
      <c r="L51" s="128">
        <f>L49*0.1</f>
        <v>478.64300000000003</v>
      </c>
    </row>
    <row r="52" spans="5:12" ht="13.5" thickBot="1">
      <c r="E52" s="204"/>
      <c r="F52" s="205"/>
      <c r="G52" s="206"/>
      <c r="H52" s="205"/>
      <c r="I52" s="206"/>
      <c r="J52" s="206"/>
      <c r="K52" s="205"/>
      <c r="L52" s="205"/>
    </row>
    <row r="53" spans="5:12">
      <c r="E53" s="50"/>
      <c r="F53" s="194"/>
      <c r="G53" s="194"/>
      <c r="H53" s="50"/>
      <c r="I53" s="50"/>
      <c r="J53" s="194"/>
      <c r="K53" s="132"/>
      <c r="L53" s="207"/>
    </row>
    <row r="54" spans="5:12" ht="13.5" customHeight="1" thickBot="1">
      <c r="E54" s="245" t="s">
        <v>195</v>
      </c>
      <c r="F54" s="246"/>
      <c r="G54" s="246"/>
      <c r="H54" s="247"/>
      <c r="I54" s="50"/>
      <c r="J54" s="194"/>
      <c r="K54" s="111" t="s">
        <v>173</v>
      </c>
      <c r="L54" s="112">
        <f>SUM(L49+L51)</f>
        <v>5265.0730000000003</v>
      </c>
    </row>
    <row r="55" spans="5:12" ht="13.5" customHeight="1">
      <c r="E55" s="262"/>
      <c r="F55" s="292"/>
      <c r="G55" s="292"/>
      <c r="H55" s="263"/>
      <c r="I55" s="50"/>
      <c r="J55" s="194"/>
      <c r="K55" s="130"/>
      <c r="L55" s="50"/>
    </row>
    <row r="56" spans="5:12" ht="16.5" customHeight="1" thickBot="1">
      <c r="E56" s="50"/>
      <c r="F56" s="194"/>
      <c r="G56" s="194"/>
      <c r="H56" s="50"/>
      <c r="I56" s="50"/>
      <c r="J56" s="194"/>
      <c r="K56" s="50"/>
      <c r="L56" s="131"/>
    </row>
    <row r="57" spans="5:12" ht="13.5" thickBot="1">
      <c r="E57" s="293" t="s">
        <v>196</v>
      </c>
      <c r="F57" s="294"/>
      <c r="G57" s="294"/>
      <c r="H57" s="294"/>
      <c r="I57" s="294"/>
      <c r="J57" s="295"/>
      <c r="K57" s="208" t="s">
        <v>173</v>
      </c>
      <c r="L57" s="209">
        <f>+L30+L54</f>
        <v>57994.277000000002</v>
      </c>
    </row>
  </sheetData>
  <mergeCells count="9">
    <mergeCell ref="E57:J57"/>
    <mergeCell ref="E30:H32"/>
    <mergeCell ref="E4:L4"/>
    <mergeCell ref="I6:J6"/>
    <mergeCell ref="B4:C4"/>
    <mergeCell ref="B13:C13"/>
    <mergeCell ref="B2:G2"/>
    <mergeCell ref="I37:J37"/>
    <mergeCell ref="E54:H5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5" ma:contentTypeDescription="Create a new document." ma:contentTypeScope="" ma:versionID="20e7b15c5081c49e3044daa0dd3d3508">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9a0e1970766081fc11b5aaffdf597d95"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Value>23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ermInfo xmlns="http://schemas.microsoft.com/office/infopath/2007/PartnerControls">
          <TermName xmlns="http://schemas.microsoft.com/office/infopath/2007/PartnerControls">MICS6</TermName>
          <TermId xmlns="http://schemas.microsoft.com/office/infopath/2007/PartnerControls">fa90bbfa-5261-4494-8646-ce8b234e25fe</TermId>
        </TermInfo>
      </Term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lcf76f155ced4ddcb4097134ff3c332f xmlns="2aac1c47-a7bd-4382-bbe6-d59290c165d5">
      <Terms xmlns="http://schemas.microsoft.com/office/infopath/2007/PartnerControls"/>
    </lcf76f155ced4ddcb4097134ff3c332f>
  </documentManagement>
</p:properti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7CEC31DE-60F4-4B91-9C26-D7A292261E82}"/>
</file>

<file path=customXml/itemProps2.xml><?xml version="1.0" encoding="utf-8"?>
<ds:datastoreItem xmlns:ds="http://schemas.openxmlformats.org/officeDocument/2006/customXml" ds:itemID="{51893269-D53B-499E-8EDD-D7A49A08DB84}"/>
</file>

<file path=customXml/itemProps3.xml><?xml version="1.0" encoding="utf-8"?>
<ds:datastoreItem xmlns:ds="http://schemas.openxmlformats.org/officeDocument/2006/customXml" ds:itemID="{75DD5D3C-DFBF-4808-BFCD-389DA9528E0E}"/>
</file>

<file path=customXml/itemProps4.xml><?xml version="1.0" encoding="utf-8"?>
<ds:datastoreItem xmlns:ds="http://schemas.openxmlformats.org/officeDocument/2006/customXml" ds:itemID="{9F4220B7-1C0C-4810-B5DF-4F0BC13F6503}"/>
</file>

<file path=customXml/itemProps5.xml><?xml version="1.0" encoding="utf-8"?>
<ds:datastoreItem xmlns:ds="http://schemas.openxmlformats.org/officeDocument/2006/customXml" ds:itemID="{A16BD149-30D4-4592-8DB1-7C614E38498A}"/>
</file>

<file path=customXml/itemProps6.xml><?xml version="1.0" encoding="utf-8"?>
<ds:datastoreItem xmlns:ds="http://schemas.openxmlformats.org/officeDocument/2006/customXml" ds:itemID="{CD110B6C-FBF0-4A80-929C-269102AF4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Nestor Eduardo Muñoz Rojas</cp:lastModifiedBy>
  <cp:revision/>
  <dcterms:created xsi:type="dcterms:W3CDTF">2005-05-03T23:15:00Z</dcterms:created>
  <dcterms:modified xsi:type="dcterms:W3CDTF">2024-04-09T19:43:24Z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23;#MICS6|fa90bbfa-5261-4494-8646-ce8b234e25fe</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