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C:\Users\mmelo\Documents\MICS\2 Check Trad MICS7\MICS7\_New Version\11 Planning the Survey\"/>
    </mc:Choice>
  </mc:AlternateContent>
  <xr:revisionPtr revIDLastSave="0" documentId="13_ncr:1_{77D593CC-0D43-45FB-8DEB-2A2E5508CA8F}" xr6:coauthVersionLast="47" xr6:coauthVersionMax="47" xr10:uidLastSave="{00000000-0000-0000-0000-000000000000}"/>
  <bookViews>
    <workbookView xWindow="-110" yWindow="-110" windowWidth="19420" windowHeight="10300" tabRatio="755" activeTab="1" xr2:uid="{00000000-000D-0000-FFFF-FFFF00000000}"/>
  </bookViews>
  <sheets>
    <sheet name="Durée du terrain" sheetId="18" r:id="rId1"/>
    <sheet name="Personnel de terrain" sheetId="8" r:id="rId2"/>
    <sheet name="Durée dénombrement" sheetId="17" r:id="rId3"/>
    <sheet name="Personnel dénombrement" sheetId="11" r:id="rId4"/>
    <sheet name="Équipement" sheetId="7" r:id="rId5"/>
    <sheet name="Fournitures tablettes principal" sheetId="15" r:id="rId6"/>
    <sheet name="Fournitures facultatives" sheetId="21" r:id="rId7"/>
    <sheet name="Équipement de test de l'eau" sheetId="14" r:id="rId8"/>
  </sheets>
  <definedNames>
    <definedName name="Print_Titles_MI" localSheetId="7">#REF!</definedName>
    <definedName name="Print_Titles_MI">#REF!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8" l="1"/>
  <c r="F10" i="18"/>
  <c r="C8" i="14" l="1"/>
  <c r="F23" i="14" s="1"/>
  <c r="F19" i="14" l="1"/>
  <c r="F18" i="14"/>
  <c r="C6" i="17" l="1"/>
  <c r="F14" i="18"/>
  <c r="F12" i="18" l="1"/>
  <c r="F16" i="18" s="1"/>
  <c r="F21" i="18" l="1"/>
  <c r="F17" i="18"/>
  <c r="F19" i="18" s="1"/>
  <c r="C20" i="15" l="1"/>
  <c r="C16" i="15"/>
  <c r="C14" i="7"/>
  <c r="F29" i="8" l="1"/>
  <c r="C16" i="8"/>
  <c r="C14" i="8"/>
  <c r="C10" i="8"/>
  <c r="C8" i="8"/>
  <c r="C10" i="11"/>
  <c r="C16" i="21" s="1"/>
  <c r="C10" i="14"/>
  <c r="F13" i="17"/>
  <c r="F15" i="17" s="1"/>
  <c r="F19" i="17" s="1"/>
  <c r="F10" i="14" l="1"/>
  <c r="F11" i="14"/>
  <c r="F12" i="14"/>
  <c r="F13" i="14"/>
  <c r="F43" i="14"/>
  <c r="F48" i="14"/>
  <c r="F47" i="14"/>
  <c r="F44" i="14"/>
  <c r="F41" i="14"/>
  <c r="C20" i="21"/>
  <c r="F9" i="11"/>
  <c r="F17" i="17"/>
  <c r="C12" i="11" s="1"/>
  <c r="C8" i="11"/>
  <c r="F42" i="14" l="1"/>
  <c r="F46" i="14"/>
  <c r="F11" i="8"/>
  <c r="C12" i="8"/>
  <c r="F10" i="11" l="1"/>
  <c r="F11" i="11"/>
  <c r="F28" i="8"/>
  <c r="F24" i="11"/>
  <c r="F23" i="11"/>
  <c r="C18" i="21" l="1"/>
  <c r="C8" i="21"/>
  <c r="F8" i="7" s="1"/>
  <c r="F21" i="11"/>
  <c r="F8" i="21"/>
  <c r="F10" i="7" s="1"/>
  <c r="F20" i="11"/>
  <c r="F8" i="8"/>
  <c r="F21" i="14"/>
  <c r="G21" i="14" s="1"/>
  <c r="F20" i="14"/>
  <c r="G20" i="14" s="1"/>
  <c r="G19" i="14"/>
  <c r="G18" i="14"/>
  <c r="K42" i="14"/>
  <c r="L42" i="14" s="1"/>
  <c r="G23" i="14"/>
  <c r="F22" i="14"/>
  <c r="G22" i="14" s="1"/>
  <c r="G11" i="14"/>
  <c r="G13" i="14"/>
  <c r="F45" i="14"/>
  <c r="G10" i="14"/>
  <c r="F19" i="11"/>
  <c r="F12" i="11"/>
  <c r="G12" i="14" l="1"/>
  <c r="K12" i="14"/>
  <c r="L12" i="14" s="1"/>
  <c r="C14" i="21"/>
  <c r="C10" i="21"/>
  <c r="C12" i="21"/>
  <c r="F15" i="21"/>
  <c r="F13" i="21"/>
  <c r="F11" i="21"/>
  <c r="K21" i="14"/>
  <c r="L21" i="14" s="1"/>
  <c r="K11" i="14"/>
  <c r="L11" i="14" s="1"/>
  <c r="K41" i="14"/>
  <c r="L41" i="14" s="1"/>
  <c r="G41" i="14"/>
  <c r="G42" i="14"/>
  <c r="K10" i="14"/>
  <c r="L10" i="14" s="1"/>
  <c r="K22" i="14"/>
  <c r="L22" i="14" s="1"/>
  <c r="K19" i="14"/>
  <c r="L19" i="14" s="1"/>
  <c r="K23" i="14"/>
  <c r="L23" i="14" s="1"/>
  <c r="K48" i="14"/>
  <c r="L48" i="14" s="1"/>
  <c r="G48" i="14"/>
  <c r="K45" i="14"/>
  <c r="L45" i="14" s="1"/>
  <c r="G45" i="14"/>
  <c r="K18" i="14"/>
  <c r="L18" i="14" s="1"/>
  <c r="K13" i="14"/>
  <c r="L13" i="14" s="1"/>
  <c r="K47" i="14"/>
  <c r="L47" i="14" s="1"/>
  <c r="G47" i="14"/>
  <c r="K20" i="14"/>
  <c r="L20" i="14" s="1"/>
  <c r="K44" i="14"/>
  <c r="L44" i="14" s="1"/>
  <c r="G44" i="14"/>
  <c r="K43" i="14"/>
  <c r="L43" i="14" s="1"/>
  <c r="G43" i="14"/>
  <c r="K46" i="14"/>
  <c r="L46" i="14" s="1"/>
  <c r="G46" i="14"/>
  <c r="F9" i="8"/>
  <c r="F10" i="8" s="1"/>
  <c r="F12" i="8" s="1"/>
  <c r="F13" i="11"/>
  <c r="F22" i="11"/>
  <c r="F25" i="11" s="1"/>
  <c r="L24" i="14" l="1"/>
  <c r="L49" i="14"/>
  <c r="L14" i="14"/>
  <c r="F16" i="8"/>
  <c r="F15" i="8"/>
  <c r="F24" i="8" s="1"/>
  <c r="F17" i="8"/>
  <c r="F26" i="8" l="1"/>
  <c r="C8" i="7"/>
  <c r="C10" i="7"/>
  <c r="L26" i="14"/>
  <c r="L30" i="14" s="1"/>
  <c r="L51" i="14"/>
  <c r="L54" i="14" s="1"/>
  <c r="F18" i="8"/>
  <c r="F25" i="8"/>
  <c r="C12" i="7" s="1"/>
  <c r="C18" i="15" s="1"/>
  <c r="F19" i="8" l="1"/>
  <c r="F27" i="8"/>
  <c r="F30" i="8" s="1"/>
  <c r="L58" i="14"/>
  <c r="C14" i="15" l="1"/>
  <c r="C12" i="15"/>
  <c r="C8" i="15"/>
  <c r="C10" i="15"/>
</calcChain>
</file>

<file path=xl/sharedStrings.xml><?xml version="1.0" encoding="utf-8"?>
<sst xmlns="http://schemas.openxmlformats.org/spreadsheetml/2006/main" count="280" uniqueCount="204">
  <si>
    <t xml:space="preserve">Modèle de calcul de la durée du travail sur le terrain </t>
  </si>
  <si>
    <t xml:space="preserve"> Entrez les valeurs du plan d'enquête MICS dans le tableau des valeurs d'entrée. Les estimations correspondantes de la durée du travail sur le terrain seront indiquées dans le tableau des valeurs de sortie. Cette feuille de calcul sert d'entrée aux autres feuilles du classeur. Il est donc conseillé de saisir d'abord les données ici et ensuite confirmer en permanence que les valeurs correctes sont saisies dans les entrées ici.</t>
  </si>
  <si>
    <t>VALEURS DES ENTREES</t>
  </si>
  <si>
    <t>VALEURS DES SORTIES</t>
  </si>
  <si>
    <t>Paramètre</t>
  </si>
  <si>
    <t>Valeur</t>
  </si>
  <si>
    <t>Estimations</t>
  </si>
  <si>
    <t>Nombre de ménages (Taille de l'échantillon total)</t>
  </si>
  <si>
    <t>Nombre total de jours de travail nécessaires</t>
  </si>
  <si>
    <r>
      <t xml:space="preserve">Nombre d'équipes de terrain </t>
    </r>
    <r>
      <rPr>
        <vertAlign val="superscript"/>
        <sz val="10"/>
        <rFont val="Arial"/>
        <family val="2"/>
      </rPr>
      <t>2</t>
    </r>
  </si>
  <si>
    <t>Nombre de ménages complétés par jour pour toutes les équipes</t>
  </si>
  <si>
    <r>
      <t>Nombre d'enquêteurs par équipe</t>
    </r>
    <r>
      <rPr>
        <vertAlign val="superscript"/>
        <sz val="10"/>
        <rFont val="Arial"/>
        <family val="2"/>
      </rPr>
      <t xml:space="preserve"> 3</t>
    </r>
  </si>
  <si>
    <t>Nombre de jours de travail par groupe (arrondi)</t>
  </si>
  <si>
    <r>
      <t xml:space="preserve">Nombre de ménages par grappe </t>
    </r>
    <r>
      <rPr>
        <vertAlign val="superscript"/>
        <sz val="10"/>
        <rFont val="Arial"/>
        <family val="2"/>
      </rPr>
      <t>4</t>
    </r>
  </si>
  <si>
    <t xml:space="preserve">Durée du terrain en nombres de jours de travail </t>
  </si>
  <si>
    <t>Durée totale en semaines</t>
  </si>
  <si>
    <r>
      <t>1 semaine = 5 jours de travail + 1 repos &amp; 1 jour de voyage</t>
    </r>
    <r>
      <rPr>
        <i/>
        <vertAlign val="superscript"/>
        <sz val="10"/>
        <rFont val="Arial"/>
        <family val="2"/>
      </rPr>
      <t>5</t>
    </r>
  </si>
  <si>
    <t>Durée totale du terrain en jours</t>
  </si>
  <si>
    <r>
      <rPr>
        <vertAlign val="superscript"/>
        <sz val="8"/>
        <rFont val="Arial"/>
        <family val="2"/>
      </rPr>
      <t>4</t>
    </r>
    <r>
      <rPr>
        <sz val="8"/>
        <rFont val="Arial"/>
        <family val="2"/>
      </rPr>
      <t xml:space="preserve"> MICS rrecommande entre 15 et 25 ménages par grappe.</t>
    </r>
  </si>
  <si>
    <r>
      <rPr>
        <vertAlign val="superscript"/>
        <sz val="8"/>
        <rFont val="Arial"/>
        <family val="2"/>
      </rPr>
      <t>5</t>
    </r>
    <r>
      <rPr>
        <sz val="8"/>
        <rFont val="Arial"/>
        <family val="2"/>
      </rPr>
      <t xml:space="preserve"> Les équipes de terrain ont besoin d'un jour de repos chaque semaine. En outre, on suppose un jour de voyage (entier) par semaine, basé sur une équipe qui couvre généralement un certain nombre de grappes à partir d'un emplacement de base changeant, se déplacant dans les grappes chaque jour et changeant de base approximativement une fois par semaine. Le nombre de jours de voyage doit être augmenté si le mouvement de l'équipe suit un schéma différent, c'est-à-dire sans ces emplacements de base. Ce qui serait le cas s'il y a de longues distances entre les grappes. </t>
    </r>
  </si>
  <si>
    <t>Modèle de calcul du nombre total d'équipes et du personnel de terrain requis pour le travail sur le terrain et la formation</t>
  </si>
  <si>
    <t>Entrez les valeurs à partir du plan d'enquête MICS dans le tableau Valeur d'entrée (nécessite une entrée sur la durée du travail sur le terrain). Les estimations correspondantes des besoins en personnel de terrain et des participants à la formation seront indiquées dans le tableau Valeur de sortie.</t>
  </si>
  <si>
    <t>VALEURS D'ENTRÉE DE LA FEUILLE DE TRAVAIL 'Durée du terrain'</t>
  </si>
  <si>
    <t>VALEURS DE SORTIE POUR LE TRAVAIL DE TERRAIN</t>
  </si>
  <si>
    <t>Nombre de ménages</t>
  </si>
  <si>
    <t>Nombre de  grappes</t>
  </si>
  <si>
    <t xml:space="preserve">Durée en nombre total de jours de travail  </t>
  </si>
  <si>
    <t>Nombre de ménages par grappe</t>
  </si>
  <si>
    <t>Durée totale du travail de terrain en jours (venant de 'Durée du terrain')</t>
  </si>
  <si>
    <t>Nombre d'équipes de terrain requises (Calculé pour vérfier la cohérence avec la feuille de travail 'durée de terrain')</t>
  </si>
  <si>
    <t xml:space="preserve">Nombre de ménages enquêtés par jour par enquêteur </t>
  </si>
  <si>
    <t>Nombre de Personnel de terrain requis :</t>
  </si>
  <si>
    <t>Chefs d'équipes</t>
  </si>
  <si>
    <t>Nombre d'entretien par équipe</t>
  </si>
  <si>
    <t>Enquêteurs</t>
  </si>
  <si>
    <t>Mesureurs</t>
  </si>
  <si>
    <t>Total</t>
  </si>
  <si>
    <t>VALEURS D'ENTRÉE</t>
  </si>
  <si>
    <t>Total + 10 % extra pour sélection des meilleurs/remplaçants</t>
  </si>
  <si>
    <t xml:space="preserve">VALEURS DE SORTIE POUR LA FORMATION </t>
  </si>
  <si>
    <t>Personnel du bureau central</t>
  </si>
  <si>
    <r>
      <t>Éditeurs secondaires</t>
    </r>
    <r>
      <rPr>
        <vertAlign val="superscript"/>
        <sz val="10"/>
        <rFont val="Arial"/>
        <family val="2"/>
      </rPr>
      <t>7</t>
    </r>
  </si>
  <si>
    <r>
      <t>Personnel de suivi</t>
    </r>
    <r>
      <rPr>
        <vertAlign val="superscript"/>
        <sz val="10"/>
        <rFont val="Arial"/>
        <family val="2"/>
      </rPr>
      <t>8</t>
    </r>
  </si>
  <si>
    <t>Éditeurs secondaires</t>
  </si>
  <si>
    <t>Personnel de suivi</t>
  </si>
  <si>
    <r>
      <rPr>
        <vertAlign val="superscript"/>
        <sz val="8"/>
        <rFont val="Arial"/>
        <family val="2"/>
      </rPr>
      <t>6</t>
    </r>
    <r>
      <rPr>
        <sz val="8"/>
        <rFont val="Arial"/>
        <family val="2"/>
      </rPr>
      <t xml:space="preserve"> Les équipes de terrain ont besoin d'un jour de repos chaque semaine. En outre, on suppose un jour de voyage (entier) par semaine, basé sur une équipe qui couvre généralement un certain nombre de grappes à partir d'un emplacement de base changeant, se déplacant dans les grappes chaque jour et changeant de base approximativement une fois par semaine. Le nombre de jours de voyage doit être augmenté si le mouvement de l'équipe suit un schéma différent, c'est-à-dire sans ces emplacements de base. Ce qui serait le cas s'il y a de longues distances entre les grappes..</t>
    </r>
  </si>
  <si>
    <r>
      <t>Total à former</t>
    </r>
    <r>
      <rPr>
        <b/>
        <vertAlign val="superscript"/>
        <sz val="10"/>
        <rFont val="Arial"/>
        <family val="2"/>
        <charset val="204"/>
      </rPr>
      <t>9</t>
    </r>
    <r>
      <rPr>
        <b/>
        <sz val="10"/>
        <rFont val="Arial"/>
        <family val="2"/>
      </rPr>
      <t xml:space="preserve"> pour le travail sur le terrain</t>
    </r>
  </si>
  <si>
    <r>
      <rPr>
        <vertAlign val="superscript"/>
        <sz val="8"/>
        <rFont val="Arial"/>
        <family val="2"/>
      </rPr>
      <t>9</t>
    </r>
    <r>
      <rPr>
        <sz val="8"/>
        <rFont val="Arial"/>
        <family val="2"/>
      </rPr>
      <t xml:space="preserve"> Les installations de formation doivent comprendre une grande salle pour les sessions plénières et des salles de classe plus petites pour les sessions interactives, à raison de 30 à 40 participants par salle, si la capacité et le nombre de formateurs permettent des sessions simultanées. Un plus grand nombre de stagiaires par salle peut réduire la qualité de la formation. Un espace séparé doit être prévu pour la formation des mesureurs d'anthropométrie, en tenant compte de l'espace nécessaire pour l'équipement et du nombre de mesures.    </t>
    </r>
  </si>
  <si>
    <r>
      <rPr>
        <vertAlign val="superscript"/>
        <sz val="8"/>
        <rFont val="Arial"/>
        <family val="2"/>
      </rPr>
      <t>8</t>
    </r>
    <r>
      <rPr>
        <sz val="8"/>
        <rFont val="Arial"/>
        <family val="2"/>
      </rPr>
      <t xml:space="preserve"> La composition de l'équipe de suivi doit être décidée au stade de la planification de l'enquête. Les membres de l'équipe qui n'appartiennent pas à l'équipe MICS de l'INS/UNICEF doivent assister à la première partie de la formation (partie méthodologique, et de préférence à l'ensemble de la formation). Une session séparée doit être organisée pour les équipes de suivi.   </t>
    </r>
  </si>
  <si>
    <t>Modèle pour calculer la durée de la cartographie et du dénombrement des ménages</t>
  </si>
  <si>
    <t>VALEUR DES ENTREES DE LA FEUILLE DE TRAVAIL 'Durée du terrain'</t>
  </si>
  <si>
    <t>Nombre de grappes</t>
  </si>
  <si>
    <t>VALEUR D'ENTRÉE</t>
  </si>
  <si>
    <t>VALEUR DE SORTIE</t>
  </si>
  <si>
    <r>
      <t xml:space="preserve">Nombre de  grappes à compléter par jour de travail par équipes de dénombrement </t>
    </r>
    <r>
      <rPr>
        <vertAlign val="superscript"/>
        <sz val="10"/>
        <rFont val="Arial"/>
        <family val="2"/>
      </rPr>
      <t>10</t>
    </r>
  </si>
  <si>
    <r>
      <t>Nombre total de jours ouvrables nécessaires + 20%</t>
    </r>
    <r>
      <rPr>
        <vertAlign val="superscript"/>
        <sz val="10"/>
        <rFont val="Arial"/>
        <family val="2"/>
      </rPr>
      <t>12</t>
    </r>
  </si>
  <si>
    <r>
      <t>Nombre d'équipes de dénombrement</t>
    </r>
    <r>
      <rPr>
        <vertAlign val="superscript"/>
        <sz val="10"/>
        <rFont val="Arial"/>
        <family val="2"/>
      </rPr>
      <t>11</t>
    </r>
  </si>
  <si>
    <t>Durée de la cartographie et dénombrement en jours de travail</t>
  </si>
  <si>
    <r>
      <t>1 semaine = (6 jours de travail + 1 repos)</t>
    </r>
    <r>
      <rPr>
        <vertAlign val="superscript"/>
        <sz val="10"/>
        <rFont val="Arial"/>
        <family val="2"/>
      </rPr>
      <t>13</t>
    </r>
  </si>
  <si>
    <t>Date de début de cartographie et dénombrement  [dd/mm/aaaa]</t>
  </si>
  <si>
    <t>Date de fin de carto et dénombrement  [dd/mm/aaaa]</t>
  </si>
  <si>
    <r>
      <t xml:space="preserve">11 </t>
    </r>
    <r>
      <rPr>
        <sz val="8"/>
        <rFont val="Arial"/>
        <family val="2"/>
      </rPr>
      <t>Le nombre d'équipes doit être limité à un nombre gérable qui puisse être formé et suivi de manière adéquate sur le terrain. Il est recommandé d'avoir un maximum de 3 équipes par région et pas plus de 50 personnes à gérer.</t>
    </r>
  </si>
  <si>
    <r>
      <t>13</t>
    </r>
    <r>
      <rPr>
        <sz val="8"/>
        <rFont val="Arial"/>
        <family val="2"/>
      </rPr>
      <t xml:space="preserve"> Les équipes de dénombrement et de cartographie ont besoin d'un jour de congé par semaine.</t>
    </r>
  </si>
  <si>
    <t>Modèle pour calculer le nombre de personnel requis pour la cartographie et le dénombrement</t>
  </si>
  <si>
    <t>Entrez les valeurs à partir du plan d'enquête MICS dans le tableau Valeur d'entrée (requiert une entrée sur la feuille de calcul «Durée du travail»). Les estimations correspondantes des besoins en effectifs et des participants à la formation seront indiquées dans le tableau Valeur de sortie.</t>
  </si>
  <si>
    <t>VALEURS DE SORTIE POUR LE TERRAIN</t>
  </si>
  <si>
    <r>
      <t>Chefs d'équipes</t>
    </r>
    <r>
      <rPr>
        <vertAlign val="superscript"/>
        <sz val="10"/>
        <rFont val="Arial"/>
        <family val="2"/>
      </rPr>
      <t>16</t>
    </r>
  </si>
  <si>
    <t>Nombre d'équipes de dénombrement</t>
  </si>
  <si>
    <t>Cartographes</t>
  </si>
  <si>
    <t>Durée en semaines</t>
  </si>
  <si>
    <t xml:space="preserve">     1 semaine = 6 jours de travail + 1 repos</t>
  </si>
  <si>
    <r>
      <t>Total + 10%</t>
    </r>
    <r>
      <rPr>
        <vertAlign val="superscript"/>
        <sz val="10"/>
        <rFont val="Arial"/>
        <family val="2"/>
      </rPr>
      <t>17</t>
    </r>
    <r>
      <rPr>
        <i/>
        <sz val="10"/>
        <rFont val="Arial"/>
        <family val="2"/>
      </rPr>
      <t xml:space="preserve"> extra pour selection des meilleurs/remplaçants </t>
    </r>
  </si>
  <si>
    <t>VALEURS DE SORTIE POUR LA FORMATION</t>
  </si>
  <si>
    <r>
      <t>Éditeurs de dénombrement</t>
    </r>
    <r>
      <rPr>
        <vertAlign val="superscript"/>
        <sz val="10"/>
        <rFont val="Arial"/>
        <family val="2"/>
      </rPr>
      <t>14</t>
    </r>
  </si>
  <si>
    <r>
      <t>Editeurs/Administrateurs de cartographie</t>
    </r>
    <r>
      <rPr>
        <vertAlign val="superscript"/>
        <sz val="10"/>
        <rFont val="Arial"/>
        <family val="2"/>
      </rPr>
      <t>15</t>
    </r>
  </si>
  <si>
    <r>
      <t>10 %</t>
    </r>
    <r>
      <rPr>
        <vertAlign val="superscript"/>
        <sz val="10"/>
        <rFont val="Arial"/>
        <family val="2"/>
      </rPr>
      <t>17</t>
    </r>
    <r>
      <rPr>
        <i/>
        <sz val="10"/>
        <rFont val="Arial"/>
        <family val="2"/>
      </rPr>
      <t xml:space="preserve"> extra pour sélection des meilleurs/remplaçants </t>
    </r>
  </si>
  <si>
    <t>Editeurs/Administrateurs de cartographie</t>
  </si>
  <si>
    <r>
      <t>Total pour former</t>
    </r>
    <r>
      <rPr>
        <vertAlign val="superscript"/>
        <sz val="10"/>
        <rFont val="Arial"/>
        <family val="2"/>
      </rPr>
      <t>18</t>
    </r>
    <r>
      <rPr>
        <b/>
        <sz val="10"/>
        <rFont val="Arial"/>
        <family val="2"/>
      </rPr>
      <t xml:space="preserve"> pour le dénombrement et la cartographie</t>
    </r>
  </si>
  <si>
    <r>
      <rPr>
        <vertAlign val="superscript"/>
        <sz val="8"/>
        <rFont val="Arial"/>
        <family val="2"/>
      </rPr>
      <t xml:space="preserve">17 </t>
    </r>
    <r>
      <rPr>
        <sz val="8"/>
        <rFont val="Arial"/>
        <family val="2"/>
      </rPr>
      <t>En fonction de l'expérience des abandons et de la capacité, le nombre de stagiaires supplémentaires peut être augmenté, mais ne doit pas être réduit.</t>
    </r>
  </si>
  <si>
    <t>Modèle pour calculer les équipements nécessaires</t>
  </si>
  <si>
    <t>Pas de valeurs d'entrée requises</t>
  </si>
  <si>
    <t>VALEURS DE SORTIE</t>
  </si>
  <si>
    <r>
      <t xml:space="preserve">VALEURS DE SORTIE </t>
    </r>
    <r>
      <rPr>
        <i/>
        <sz val="10"/>
        <rFont val="Arial"/>
        <family val="2"/>
        <charset val="204"/>
      </rPr>
      <t>- Équipements optionnels</t>
    </r>
  </si>
  <si>
    <r>
      <t>Toises</t>
    </r>
    <r>
      <rPr>
        <vertAlign val="superscript"/>
        <sz val="10"/>
        <rFont val="Arial"/>
        <family val="2"/>
        <charset val="204"/>
      </rPr>
      <t>19</t>
    </r>
  </si>
  <si>
    <r>
      <t>Balances</t>
    </r>
    <r>
      <rPr>
        <vertAlign val="superscript"/>
        <sz val="10"/>
        <rFont val="Arial"/>
        <family val="2"/>
      </rPr>
      <t>19</t>
    </r>
  </si>
  <si>
    <r>
      <rPr>
        <vertAlign val="superscript"/>
        <sz val="8"/>
        <rFont val="Arial"/>
        <family val="2"/>
      </rPr>
      <t>23</t>
    </r>
    <r>
      <rPr>
        <sz val="8"/>
        <rFont val="Arial"/>
        <family val="2"/>
      </rPr>
      <t xml:space="preserve"> Une tablette par liste. Le nombre comprend 10% du nombre total de comprimés pour la sauvegarde. En cas d'utilisation de la liste CAPI. En fonction de la planification de l'inscription et de la date de début de la formation principale, il n'est pas nécessaire de prévoir du matériel supplémentaire pour l'inscription. </t>
    </r>
  </si>
  <si>
    <r>
      <rPr>
        <vertAlign val="superscript"/>
        <sz val="8"/>
        <rFont val="Arial"/>
        <family val="2"/>
      </rPr>
      <t>19</t>
    </r>
    <r>
      <rPr>
        <sz val="8"/>
        <rFont val="Arial"/>
        <family val="2"/>
      </rPr>
      <t xml:space="preserve"> Le nombre de toises et de balances est calculé comme suit : 2 par équipe (une de réserve). Le nombre d'appareils de réserve peut être réduit si les équipes ont facilement accès à des appareils de remplacement à partir d'un lieu central. Il est également recommandé d'utiliser un désinfectant pour les mains (au moins 10 bouteilles par équipe) et un produit de nettoyage doux (la quantité peut être calculée lorsque le nombre total d'enfants à mesurer est estimé) pour les mesures anthropométriques et l'équipement.</t>
    </r>
  </si>
  <si>
    <t>Modèle pour calculer les accessoires de la tablette pour la collecte de données principales</t>
  </si>
  <si>
    <t>Aucune entrée de valeur requise.</t>
  </si>
  <si>
    <t>Value</t>
  </si>
  <si>
    <t>Ordinateurs tablettes</t>
  </si>
  <si>
    <t>Étuis pour tablettes</t>
  </si>
  <si>
    <t>Protecteurs d'écran pour tablette</t>
  </si>
  <si>
    <t>Cartes memoires SD</t>
  </si>
  <si>
    <r>
      <t>Alimentations de secours/Power Banks</t>
    </r>
    <r>
      <rPr>
        <vertAlign val="superscript"/>
        <sz val="10"/>
        <rFont val="Arial"/>
        <family val="2"/>
      </rPr>
      <t>24</t>
    </r>
  </si>
  <si>
    <r>
      <t>Stylets</t>
    </r>
    <r>
      <rPr>
        <vertAlign val="superscript"/>
        <sz val="10"/>
        <rFont val="Arial"/>
        <family val="2"/>
      </rPr>
      <t>25</t>
    </r>
  </si>
  <si>
    <r>
      <t>Chargeurs de véhicules</t>
    </r>
    <r>
      <rPr>
        <vertAlign val="superscript"/>
        <sz val="10"/>
        <rFont val="Arial"/>
        <family val="2"/>
      </rPr>
      <t>26</t>
    </r>
  </si>
  <si>
    <r>
      <rPr>
        <vertAlign val="superscript"/>
        <sz val="8"/>
        <rFont val="Arial"/>
        <family val="2"/>
      </rPr>
      <t xml:space="preserve">24 </t>
    </r>
    <r>
      <rPr>
        <sz val="8"/>
        <rFont val="Arial"/>
        <family val="2"/>
      </rPr>
      <t>Deux blocs d'alimentation de secours par équipe - un devrait être en mesure de charger complètement deux tablettes</t>
    </r>
  </si>
  <si>
    <r>
      <rPr>
        <vertAlign val="superscript"/>
        <sz val="8"/>
        <rFont val="Arial"/>
        <family val="2"/>
      </rPr>
      <t xml:space="preserve">25 </t>
    </r>
    <r>
      <rPr>
        <sz val="8"/>
        <rFont val="Arial"/>
        <family val="2"/>
      </rPr>
      <t>Un stylet par tablette + deux supplémentaires par équipe. Notez que certaines tablettes incluent un stylet.</t>
    </r>
  </si>
  <si>
    <r>
      <rPr>
        <vertAlign val="superscript"/>
        <sz val="8"/>
        <rFont val="Arial"/>
        <family val="2"/>
      </rPr>
      <t xml:space="preserve">26 </t>
    </r>
    <r>
      <rPr>
        <sz val="8"/>
        <rFont val="Arial"/>
        <family val="2"/>
      </rPr>
      <t>Un chargeur de véhicule par équipe</t>
    </r>
  </si>
  <si>
    <t>Modèle de calcul des fournitures pour les thèmes facultatifs</t>
  </si>
  <si>
    <t>Acune valeur n'est requise</t>
  </si>
  <si>
    <r>
      <t xml:space="preserve">Dénombrement VALEUR DE SORTIES </t>
    </r>
    <r>
      <rPr>
        <i/>
        <sz val="10"/>
        <rFont val="Arial"/>
        <family val="2"/>
        <charset val="204"/>
      </rPr>
      <t>CAPI</t>
    </r>
    <r>
      <rPr>
        <vertAlign val="superscript"/>
        <sz val="10"/>
        <rFont val="Arial"/>
        <family val="2"/>
        <charset val="204"/>
      </rPr>
      <t>27</t>
    </r>
  </si>
  <si>
    <r>
      <rPr>
        <sz val="10"/>
        <rFont val="Arial"/>
        <family val="2"/>
      </rPr>
      <t>VALEUR DE SORTIES</t>
    </r>
    <r>
      <rPr>
        <i/>
        <sz val="10"/>
        <rFont val="Arial"/>
        <family val="2"/>
        <charset val="204"/>
      </rPr>
      <t xml:space="preserve"> GIS</t>
    </r>
  </si>
  <si>
    <r>
      <t>Récepteur GPS (dispositif Garming))</t>
    </r>
    <r>
      <rPr>
        <vertAlign val="superscript"/>
        <sz val="10"/>
        <color rgb="FF000000"/>
        <rFont val="Arial"/>
        <family val="2"/>
        <charset val="204"/>
      </rPr>
      <t>31</t>
    </r>
  </si>
  <si>
    <t>Paquet de huit (8) piles AA (alcaline) par unité GPS</t>
  </si>
  <si>
    <r>
      <t>Un (1) câble USB standard vers Micro-USB par appareil GPS pour le téléchargement des données des récepteurs</t>
    </r>
    <r>
      <rPr>
        <vertAlign val="superscript"/>
        <sz val="10"/>
        <color rgb="FF000000"/>
        <rFont val="Arial"/>
        <family val="2"/>
        <charset val="204"/>
      </rPr>
      <t>32</t>
    </r>
  </si>
  <si>
    <t xml:space="preserve">Cartes mémoires SD </t>
  </si>
  <si>
    <t>Une (1) carte MicroSD par unité GPS (en option)</t>
  </si>
  <si>
    <r>
      <t>Alimentations de secours/Power Banks</t>
    </r>
    <r>
      <rPr>
        <vertAlign val="superscript"/>
        <sz val="10"/>
        <rFont val="Arial"/>
        <family val="2"/>
      </rPr>
      <t>28</t>
    </r>
  </si>
  <si>
    <r>
      <rPr>
        <vertAlign val="superscript"/>
        <sz val="8"/>
        <color rgb="FF000000"/>
        <rFont val="Arial"/>
        <family val="2"/>
        <charset val="204"/>
      </rPr>
      <t>31</t>
    </r>
    <r>
      <rPr>
        <sz val="8"/>
        <color rgb="FF000000"/>
        <rFont val="Arial"/>
        <family val="2"/>
        <charset val="204"/>
      </rPr>
      <t xml:space="preserve"> La validation des données GPS existantes peut être possible sans unités autonomes. Pour les différentes options et orientations, veuillez consulter les instructions relatives à l'approvisionnement des MICS7, disponibles ici : http://mics.unicef.org/tools#survey-design.</t>
    </r>
  </si>
  <si>
    <r>
      <t>Stylets</t>
    </r>
    <r>
      <rPr>
        <vertAlign val="superscript"/>
        <sz val="10"/>
        <rFont val="Arial"/>
        <family val="2"/>
      </rPr>
      <t>29</t>
    </r>
  </si>
  <si>
    <r>
      <t>Chargeurs de véhicules</t>
    </r>
    <r>
      <rPr>
        <vertAlign val="superscript"/>
        <sz val="10"/>
        <rFont val="Arial"/>
        <family val="2"/>
      </rPr>
      <t>30</t>
    </r>
  </si>
  <si>
    <r>
      <rPr>
        <vertAlign val="superscript"/>
        <sz val="8"/>
        <color rgb="FF000000"/>
        <rFont val="Arial"/>
        <family val="2"/>
        <charset val="204"/>
      </rPr>
      <t>32</t>
    </r>
    <r>
      <rPr>
        <sz val="8"/>
        <color rgb="FF000000"/>
        <rFont val="Arial"/>
        <family val="2"/>
        <charset val="204"/>
      </rPr>
      <t xml:space="preserve"> Un câble est généralement fourni avec le récepteur GPS</t>
    </r>
  </si>
  <si>
    <r>
      <rPr>
        <vertAlign val="superscript"/>
        <sz val="8"/>
        <rFont val="Arial"/>
        <family val="2"/>
      </rPr>
      <t xml:space="preserve">28 </t>
    </r>
    <r>
      <rPr>
        <sz val="8"/>
        <rFont val="Arial"/>
        <family val="2"/>
      </rPr>
      <t>One back-up power supply per team - should be able to fully charge two tablets</t>
    </r>
  </si>
  <si>
    <r>
      <rPr>
        <vertAlign val="superscript"/>
        <sz val="8"/>
        <rFont val="Arial"/>
        <family val="2"/>
      </rPr>
      <t xml:space="preserve">29 </t>
    </r>
    <r>
      <rPr>
        <sz val="8"/>
        <rFont val="Arial"/>
        <family val="2"/>
      </rPr>
      <t>Un stylet par tablette + deux supplémentaires par équipe. Notez que certaines tablettes incluent un stylet.</t>
    </r>
  </si>
  <si>
    <r>
      <rPr>
        <vertAlign val="superscript"/>
        <sz val="8"/>
        <rFont val="Arial"/>
        <family val="2"/>
      </rPr>
      <t xml:space="preserve">30 </t>
    </r>
    <r>
      <rPr>
        <sz val="8"/>
        <rFont val="Arial"/>
        <family val="2"/>
      </rPr>
      <t>Un chargeur de véhicule par équipe</t>
    </r>
  </si>
  <si>
    <t>Modèle ppour calculer l'équipement requis pour le test de la qualité de l'eau</t>
  </si>
  <si>
    <t>Unités totales</t>
  </si>
  <si>
    <t>Unités par équipe</t>
  </si>
  <si>
    <r>
      <t>Coût/pack</t>
    </r>
    <r>
      <rPr>
        <vertAlign val="superscript"/>
        <sz val="10"/>
        <rFont val="Arial"/>
        <family val="2"/>
      </rPr>
      <t>33</t>
    </r>
  </si>
  <si>
    <t>Unités/pack</t>
  </si>
  <si>
    <t>Packs nécessaires</t>
  </si>
  <si>
    <t>Coût total</t>
  </si>
  <si>
    <t xml:space="preserve">Équipement </t>
  </si>
  <si>
    <t xml:space="preserve">  10% de plus sont ajoutés pour le remplacement</t>
  </si>
  <si>
    <t xml:space="preserve">Nombre d'équipes de terrain </t>
  </si>
  <si>
    <t>Manifolds</t>
  </si>
  <si>
    <t>each</t>
  </si>
  <si>
    <t>Ceintures d'incubation</t>
  </si>
  <si>
    <t>Seringues, 100 mL</t>
  </si>
  <si>
    <t>per box</t>
  </si>
  <si>
    <t>VALEURS D'ENTREE</t>
  </si>
  <si>
    <t>Forceps</t>
  </si>
  <si>
    <t>Sous-total matériel</t>
  </si>
  <si>
    <t>Consommables</t>
  </si>
  <si>
    <t>Nombre de ménages sélectionnés pour le test de l'eau par grappe</t>
  </si>
  <si>
    <t>- 25% supplémentaires sont ajoutés aux unités totales pour la formation et le gaspillage</t>
  </si>
  <si>
    <t>Filtre et coupelle Millipore</t>
  </si>
  <si>
    <t>Nombre de source d'eau sélectionnés pour le test d'eau par grappe</t>
  </si>
  <si>
    <t>Plaques compactes Nissui dry ECO</t>
  </si>
  <si>
    <t>Seringue stérile jetable (1 ml)</t>
  </si>
  <si>
    <t>Nombre de tests à blanc par grappe</t>
  </si>
  <si>
    <t>Compresses d'alcool</t>
  </si>
  <si>
    <t>Sacs de collecte d'échantillons WhirlPak</t>
  </si>
  <si>
    <t>Comprimés de chlore 8,5 mg</t>
  </si>
  <si>
    <t>Sous-total consommables</t>
  </si>
  <si>
    <r>
      <t xml:space="preserve">Fret </t>
    </r>
    <r>
      <rPr>
        <sz val="10"/>
        <rFont val="Arial"/>
        <family val="2"/>
      </rPr>
      <t>(10%)</t>
    </r>
  </si>
  <si>
    <t>Supplément pour le matériel</t>
  </si>
  <si>
    <t>Supplément pour les consommables</t>
  </si>
  <si>
    <t>Total (USD) :</t>
  </si>
  <si>
    <t>(contacter WASH si l'on prévoit un ToT supplémentaire)</t>
  </si>
  <si>
    <t>Supplémentaire pour les articles supplémentaires</t>
  </si>
  <si>
    <t>VALEURS DESORTIE</t>
  </si>
  <si>
    <r>
      <t>Coût/pack</t>
    </r>
    <r>
      <rPr>
        <vertAlign val="superscript"/>
        <sz val="10"/>
        <rFont val="Arial"/>
        <family val="2"/>
      </rPr>
      <t>34</t>
    </r>
  </si>
  <si>
    <t>Éléments supplémentaires</t>
  </si>
  <si>
    <t>- 10 % supplémentaires sont ajoutés aux unités totales pour la formation et le gaspillage.</t>
  </si>
  <si>
    <t>Désinfectant pour les mains (5/équipe)</t>
  </si>
  <si>
    <t>flacon de 250 ml</t>
  </si>
  <si>
    <t>Sacs poubelles (1/grappe)</t>
  </si>
  <si>
    <t>rouleeau</t>
  </si>
  <si>
    <t>Marqueur permanent (3/équipe)</t>
  </si>
  <si>
    <t>paquet</t>
  </si>
  <si>
    <t>Sac de test de la qualité de l'eau (1/équipe)</t>
  </si>
  <si>
    <t>sachet</t>
  </si>
  <si>
    <t>Essuie-tout (12/équipe)</t>
  </si>
  <si>
    <t>rouleau de 100</t>
  </si>
  <si>
    <t>Eau en bouteille pour les tests à blanc (1 équipe)</t>
  </si>
  <si>
    <t xml:space="preserve">flacon 250 ml </t>
  </si>
  <si>
    <t>Sacs pour ranger le matériel dans le véhicule (2/équipe)</t>
  </si>
  <si>
    <t>Sacs Ziploc (5/équipe)</t>
  </si>
  <si>
    <t>Sous-total des éléments supplémentaires</t>
  </si>
  <si>
    <r>
      <t xml:space="preserve">Fret </t>
    </r>
    <r>
      <rPr>
        <sz val="10"/>
        <rFont val="Arial"/>
        <family val="2"/>
        <charset val="204"/>
      </rPr>
      <t>(10%)</t>
    </r>
  </si>
  <si>
    <r>
      <rPr>
        <vertAlign val="superscript"/>
        <sz val="8"/>
        <rFont val="Arial"/>
        <family val="2"/>
      </rPr>
      <t xml:space="preserve">34 </t>
    </r>
    <r>
      <rPr>
        <sz val="8"/>
        <rFont val="Arial"/>
        <family val="2"/>
      </rPr>
      <t>Veuillez noter que les valeurs de coût/paquet doivent être mises à jour pour une meilleure estimation. Avec les fluctuations des taux EUR/USD, il y a forcément des changements significatifs. La plupart des articles supplémentaires sont achetés localement, tandis que les sacs de marque UNICEF (sacs pour les tests de qualité de l'eau et sacs pour stocker le matériel) peuvent être utilisés et obtenus auprès de la Division des approvisionnements si nécessaire. Il est généralement possible d'utiliser les sacs standard utilisés par les équipes de terrain pour le matériel d'analyse de l'eau.</t>
    </r>
  </si>
  <si>
    <t>GRAND TOTAL</t>
  </si>
  <si>
    <t>Nombre de ménages complétés par jour par équipe</t>
  </si>
  <si>
    <r>
      <t>Nombre de ménages à completer par jour par enquêteur</t>
    </r>
    <r>
      <rPr>
        <vertAlign val="superscript"/>
        <sz val="10"/>
        <rFont val="Arial"/>
        <family val="2"/>
      </rPr>
      <t>1</t>
    </r>
    <r>
      <rPr>
        <sz val="10"/>
        <rFont val="Arial"/>
        <family val="2"/>
      </rPr>
      <t xml:space="preserve"> (net)</t>
    </r>
  </si>
  <si>
    <t>Date de début du travail terrain [dd/mm/aaaa]</t>
  </si>
  <si>
    <t>Date de fin du terrain [dd/mm/aaaa]</t>
  </si>
  <si>
    <r>
      <rPr>
        <vertAlign val="superscript"/>
        <sz val="8"/>
        <rFont val="Arial"/>
        <family val="2"/>
      </rPr>
      <t xml:space="preserve">1 </t>
    </r>
    <r>
      <rPr>
        <sz val="8"/>
        <rFont val="Arial"/>
        <family val="2"/>
      </rPr>
      <t xml:space="preserve"> En moyenne, les enquêteurs devraient être capables de compléter confortablement jusqu'à 3-4 ménages par jour, y compris tous les questionnaires. 
Le nombre est net, c'est-à-dire qu'il comprend les re-visites aux ménages. L'objectif d'un plus grand nombre de ménages par jour entraînera des problèmes de qualité des données.</t>
    </r>
  </si>
  <si>
    <t xml:space="preserve">3  MICS recommande que les équipes de terrain aient 4 enquêteurs, un chef d'equipe et un mesureur. </t>
  </si>
  <si>
    <r>
      <t xml:space="preserve">Durée du travail en semaine
     </t>
    </r>
    <r>
      <rPr>
        <i/>
        <sz val="10"/>
        <rFont val="Arial"/>
        <family val="2"/>
      </rPr>
      <t>1 semaine = 5 jours de travail + 1 repos &amp; 1 jour de voyage</t>
    </r>
    <r>
      <rPr>
        <vertAlign val="superscript"/>
        <sz val="10"/>
        <rFont val="Arial"/>
        <family val="2"/>
      </rPr>
      <t>6</t>
    </r>
  </si>
  <si>
    <t xml:space="preserve">Nombre de ménages enquêtés total par jour </t>
  </si>
  <si>
    <r>
      <rPr>
        <vertAlign val="superscript"/>
        <sz val="8"/>
        <rFont val="Arial"/>
        <family val="2"/>
      </rPr>
      <t xml:space="preserve">7 </t>
    </r>
    <r>
      <rPr>
        <sz val="8"/>
        <rFont val="Arial"/>
        <family val="2"/>
      </rPr>
      <t>MICS recommande que le personnel chargé du traitement des données se familiarise également avec les questionnaires lors de la formation principale au travail terrain. Les éditeurs secondaires devraient également être inclus dans le nombre total de la formation principale au travail sur le terrain.</t>
    </r>
  </si>
  <si>
    <t>Entrez les Valeurs à partir du plan d'enquête MICS dans le tableau Valeur d'entrée (requiert une entrée sur la feuille de calcul «Durée du travail»). Les estimations correspondantes à la durée du dénombrement et à la cartographie seront affichées dans le tableau Valeur de sortie. Consultez l'expert en échantillonnage pour plus de détails</t>
  </si>
  <si>
    <r>
      <t>12</t>
    </r>
    <r>
      <rPr>
        <sz val="8"/>
        <rFont val="Arial"/>
        <family val="2"/>
      </rPr>
      <t xml:space="preserve"> Des jours de voyage supplémentaires doivent être envisagés pour les équipes couvrant de vastes zones géographiques ou des grappes éloignées avec des déplacements longs ou difficiles (longs trajets en voiture, à pied, en bateau). Quoi qu'il en soit, il est recommandé de prévoir un minimum de 20 % de jours supplémentaires pour toute enquête afin de tenir compte des grandes grappes, de la segmentation, des mauvaises conditions météorologiques, des nouvelles visites, etc. Ce point doit être discuté avec l'expert en échantillonnage lors de la planification de la collecte de données pour la liste et la cartographie.</t>
    </r>
  </si>
  <si>
    <t>Énumérateurs</t>
  </si>
  <si>
    <r>
      <rPr>
        <vertAlign val="superscript"/>
        <sz val="8"/>
        <rFont val="Arial"/>
        <family val="2"/>
      </rPr>
      <t xml:space="preserve">16 </t>
    </r>
    <r>
      <rPr>
        <sz val="8"/>
        <rFont val="Arial"/>
        <family val="2"/>
      </rPr>
      <t>Un chef d'équipe doit superviser le travail de 3 équipes.</t>
    </r>
  </si>
  <si>
    <r>
      <rPr>
        <vertAlign val="superscript"/>
        <sz val="8"/>
        <rFont val="Arial"/>
        <family val="2"/>
      </rPr>
      <t>18</t>
    </r>
    <r>
      <rPr>
        <sz val="8"/>
        <rFont val="Arial"/>
        <family val="2"/>
      </rPr>
      <t xml:space="preserve">  Les installations de formation devraient comprendre 1 grande salle pour les séances plénières et 2 petites salles de classe pour les sessions séparées pour les énumérateurs et les cartographes.</t>
    </r>
  </si>
  <si>
    <r>
      <t>Tablettes pour le dénombrement</t>
    </r>
    <r>
      <rPr>
        <u/>
        <vertAlign val="superscript"/>
        <sz val="10"/>
        <rFont val="Arial"/>
        <family val="2"/>
      </rPr>
      <t>23</t>
    </r>
    <r>
      <rPr>
        <u/>
        <sz val="10"/>
        <rFont val="Arial"/>
        <family val="2"/>
      </rPr>
      <t xml:space="preserve"> - voir feuille additionnelle</t>
    </r>
  </si>
  <si>
    <t>Unités GPS - voir feuille additionnelle</t>
  </si>
  <si>
    <r>
      <t>Tablettes</t>
    </r>
    <r>
      <rPr>
        <u/>
        <vertAlign val="superscript"/>
        <sz val="10"/>
        <rFont val="Arial"/>
        <family val="2"/>
      </rPr>
      <t>20</t>
    </r>
    <r>
      <rPr>
        <u/>
        <sz val="10"/>
        <rFont val="Arial"/>
        <family val="2"/>
      </rPr>
      <t xml:space="preserve"> - voir feuille additionnelle</t>
    </r>
  </si>
  <si>
    <r>
      <t>Equipment de test de la qualité de l'eau</t>
    </r>
    <r>
      <rPr>
        <u/>
        <vertAlign val="superscript"/>
        <sz val="10"/>
        <rFont val="Arial"/>
        <family val="2"/>
      </rPr>
      <t>21</t>
    </r>
    <r>
      <rPr>
        <u/>
        <sz val="10"/>
        <rFont val="Arial"/>
        <family val="2"/>
      </rPr>
      <t xml:space="preserve"> - Voir feuille additionnelle</t>
    </r>
  </si>
  <si>
    <r>
      <rPr>
        <vertAlign val="superscript"/>
        <sz val="8"/>
        <rFont val="Arial"/>
        <family val="2"/>
      </rPr>
      <t>20</t>
    </r>
    <r>
      <rPr>
        <sz val="8"/>
        <rFont val="Arial"/>
        <family val="2"/>
      </rPr>
      <t xml:space="preserve"> Une tablette par superviseur et par enquêteur, plus une tablette supplémentaire par équipe. Une tablette supplémentaire par équipe est recommandée si le nombre d'enquêteurs par équipe est supérieur à 4. Ce nombre inclut 5 tablettes supplémentaires pour les responsables de l'enquête et le personnel de surveillance.</t>
    </r>
  </si>
  <si>
    <r>
      <rPr>
        <vertAlign val="superscript"/>
        <sz val="8"/>
        <rFont val="Arial"/>
        <family val="2"/>
      </rPr>
      <t>21</t>
    </r>
    <r>
      <rPr>
        <sz val="8"/>
        <rFont val="Arial"/>
        <family val="2"/>
      </rPr>
      <t xml:space="preserve"> Voir les détails sur une feuille séparée.</t>
    </r>
  </si>
  <si>
    <r>
      <rPr>
        <vertAlign val="superscript"/>
        <sz val="8"/>
        <rFont val="Arial"/>
        <family val="2"/>
      </rPr>
      <t>27</t>
    </r>
    <r>
      <rPr>
        <sz val="8"/>
        <rFont val="Arial"/>
        <family val="2"/>
      </rPr>
      <t xml:space="preserve"> En cas d'utilisation du dénombrement CAPI. En fonction de la planification du dénombrement et de la date de début de la formation principale, il n'est pas nécessaire de prévoir du matériel supplémentaire pour le dénombrement. Il convient de prévoir une tablette par énumérateur. Ce nombre comprend 10 % du nombre total de tablettes pour la sauvegarde. Pour les pays où des cartes numériques seront utilisées, il convient de discuter des besoins en fournitures avec l'équipe chargée du traitement des données.</t>
    </r>
  </si>
  <si>
    <t>(1 par équipe + deux (2) supplémentaires pour la sauvegarde)</t>
  </si>
  <si>
    <t>Entrez les valeurs à partir du plan de sondage MICS dans la tableau Valeur d'entrée (requiert des données supplémentaires sur la feuille de calcul «Durée du travail sur le terrain»). Confirmez également les valeurs en rouge dans le tableau de valeurs de sortie. Les estimations correspondantes des fournitures nécessaires pour les tests de qualité de l'eau seront indiquées dans le tableau Valeur de sortie.</t>
  </si>
  <si>
    <r>
      <rPr>
        <vertAlign val="superscript"/>
        <sz val="8"/>
        <rFont val="Arial"/>
        <family val="2"/>
      </rPr>
      <t xml:space="preserve">33 </t>
    </r>
    <r>
      <rPr>
        <sz val="8"/>
        <rFont val="Arial"/>
        <family val="2"/>
      </rPr>
      <t>Veuillez noter que les valeurs de coût/paquet doivent être mises à jour pour une meilleure estimation. Avec les fluctuations des taux EUR/USD, des changements significatifs sont à prévoir. Le prix actuel est disponible dans le catalogue des approvisionnements de l'UNICEF, en utilisant les numéros d'articles fournis dans les instructions d'approvisionnement MICS7, disponibles ici : http://mics.unicef.org/tools#survey-design</t>
    </r>
  </si>
  <si>
    <r>
      <t>2</t>
    </r>
    <r>
      <rPr>
        <sz val="8"/>
        <rFont val="Arial"/>
        <family val="2"/>
      </rPr>
      <t xml:space="preserve"> Le nombre d'équipes de travail sur le terrain doit être limité à une taille raisonnable (entre 5-20 équipes sont recommandées) afin de garantir la mise en place de mesures de suivi  et d'assurances qualité sur le terrain. </t>
    </r>
  </si>
  <si>
    <t>Éditeurs de dénombrement</t>
  </si>
  <si>
    <r>
      <rPr>
        <vertAlign val="superscript"/>
        <sz val="8"/>
        <rFont val="Arial"/>
        <family val="2"/>
      </rPr>
      <t>14</t>
    </r>
    <r>
      <rPr>
        <sz val="8"/>
        <rFont val="Arial"/>
        <family val="2"/>
      </rPr>
      <t xml:space="preserve"> Les éditeurs de dénombrement gèrent les éditions quotidiennes des données de dénombrement reçues du terrain et communiquent les résultats avec l'équipe de gestion de l'enquête.</t>
    </r>
  </si>
  <si>
    <r>
      <rPr>
        <vertAlign val="superscript"/>
        <sz val="8"/>
        <rFont val="Arial"/>
        <family val="2"/>
      </rPr>
      <t xml:space="preserve">15 </t>
    </r>
    <r>
      <rPr>
        <sz val="8"/>
        <rFont val="Arial"/>
        <family val="2"/>
      </rPr>
      <t>De même, les éditeurs/administrateurs de cartographie gèrent et compilent les cartes reçues du terrain.</t>
    </r>
  </si>
  <si>
    <r>
      <rPr>
        <vertAlign val="superscript"/>
        <sz val="8"/>
        <rFont val="Arial"/>
        <family val="2"/>
      </rPr>
      <t xml:space="preserve">10 </t>
    </r>
    <r>
      <rPr>
        <sz val="8"/>
        <rFont val="Arial"/>
        <family val="2"/>
      </rPr>
      <t>En moyenne, un cartographe et un énumérateur devraient être en mesure de compléter confortablement une grappe par jour (genéralement avec une moyenne générale de 80 à 120 ménages chacun). Cela devrait être possible même si l'enquête recueille en plus des informations sur la présence d'enfants de moins de 5 ans dans les ménages répertoriés (ou des informations similaires nécessaires pour le suréchantillonnage), des questions supplémentaires sur des populations spécifiques telles que les Roms ou si les cartes de recensement manquent ou sont anciennes. Plus d'une grappe par jour est possible, principalement dans les grappes urbaines, et nécessite des cartes ou des ortho-photos nouvellement créées, et une attention acrue lors de l'établissement de la liste de dénombrement.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</si>
</sst>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_-&quot;$&quot;* #,##0.00_-;\-&quot;$&quot;* #,##0.00_-;_-&quot;$&quot;* &quot;-&quot;??_-;_-@_-"/>
    <numFmt numFmtId="167" formatCode="_(* #,##0_);_(* \(#,##0\);_(* &quot;-&quot;??_);_(@_)"/>
    <numFmt numFmtId="168" formatCode="#,##0.0"/>
    <numFmt numFmtId="169" formatCode="[$-409]d/mmm/yy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i/>
      <vertAlign val="superscript"/>
      <sz val="10"/>
      <name val="Arial"/>
      <family val="2"/>
    </font>
    <font>
      <i/>
      <sz val="8"/>
      <name val="Arial"/>
      <family val="2"/>
      <charset val="238"/>
    </font>
    <font>
      <sz val="10"/>
      <name val="Arial"/>
      <family val="2"/>
      <charset val="238"/>
    </font>
    <font>
      <sz val="10"/>
      <color rgb="FFFF0000"/>
      <name val="Arial"/>
      <family val="2"/>
    </font>
    <font>
      <sz val="10"/>
      <name val="Arial"/>
      <family val="2"/>
      <charset val="204"/>
    </font>
    <font>
      <i/>
      <sz val="10"/>
      <name val="Arial"/>
      <family val="2"/>
      <charset val="204"/>
    </font>
    <font>
      <b/>
      <sz val="10"/>
      <name val="Arial"/>
      <family val="2"/>
      <charset val="204"/>
    </font>
    <font>
      <sz val="10"/>
      <color rgb="FFFF0000"/>
      <name val="Arial"/>
      <family val="2"/>
      <charset val="204"/>
    </font>
    <font>
      <vertAlign val="superscript"/>
      <sz val="10"/>
      <name val="Arial"/>
      <family val="2"/>
      <charset val="204"/>
    </font>
    <font>
      <sz val="8"/>
      <name val="Arial"/>
      <family val="2"/>
      <charset val="204"/>
    </font>
    <font>
      <u/>
      <sz val="10"/>
      <color theme="10"/>
      <name val="Arial"/>
      <family val="2"/>
      <charset val="204"/>
    </font>
    <font>
      <b/>
      <vertAlign val="superscript"/>
      <sz val="10"/>
      <name val="Arial"/>
      <family val="2"/>
      <charset val="204"/>
    </font>
    <font>
      <sz val="8"/>
      <color rgb="FFFF0000"/>
      <name val="Arial"/>
      <family val="2"/>
    </font>
    <font>
      <u/>
      <sz val="10"/>
      <name val="Arial"/>
      <family val="2"/>
    </font>
    <font>
      <u/>
      <vertAlign val="superscript"/>
      <sz val="10"/>
      <name val="Arial"/>
      <family val="2"/>
    </font>
    <font>
      <sz val="11"/>
      <name val="Calibri"/>
      <family val="2"/>
      <scheme val="minor"/>
    </font>
    <font>
      <i/>
      <sz val="10"/>
      <color rgb="FFFF0000"/>
      <name val="Arial"/>
      <family val="2"/>
      <charset val="204"/>
    </font>
    <font>
      <sz val="10"/>
      <color rgb="FF000000"/>
      <name val="Arial"/>
      <family val="2"/>
      <charset val="204"/>
    </font>
    <font>
      <vertAlign val="superscript"/>
      <sz val="10"/>
      <color rgb="FF000000"/>
      <name val="Arial"/>
      <family val="2"/>
      <charset val="204"/>
    </font>
    <font>
      <vertAlign val="superscript"/>
      <sz val="8"/>
      <color rgb="FF000000"/>
      <name val="Arial"/>
      <family val="2"/>
      <charset val="204"/>
    </font>
    <font>
      <sz val="8"/>
      <color rgb="FF000000"/>
      <name val="Arial"/>
      <family val="2"/>
      <charset val="204"/>
    </font>
    <font>
      <u/>
      <sz val="10"/>
      <name val="Arial"/>
      <family val="2"/>
      <charset val="204"/>
    </font>
    <font>
      <sz val="10"/>
      <color theme="1"/>
      <name val="Arial"/>
      <family val="2"/>
    </font>
  </fonts>
  <fills count="9">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ABF8F"/>
        <bgColor rgb="FF000000"/>
      </patternFill>
    </fill>
  </fills>
  <borders count="25">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indexed="64"/>
      </top>
      <bottom style="medium">
        <color indexed="64"/>
      </bottom>
      <diagonal/>
    </border>
    <border>
      <left/>
      <right/>
      <top style="medium">
        <color auto="1"/>
      </top>
      <bottom/>
      <diagonal/>
    </border>
    <border>
      <left/>
      <right/>
      <top/>
      <bottom style="medium">
        <color auto="1"/>
      </bottom>
      <diagonal/>
    </border>
    <border>
      <left/>
      <right style="medium">
        <color rgb="FF000000"/>
      </right>
      <top style="medium">
        <color indexed="64"/>
      </top>
      <bottom style="medium">
        <color indexed="64"/>
      </bottom>
      <diagonal/>
    </border>
  </borders>
  <cellStyleXfs count="10">
    <xf numFmtId="0" fontId="0" fillId="0" borderId="0"/>
    <xf numFmtId="0" fontId="4" fillId="0" borderId="0"/>
    <xf numFmtId="0" fontId="3" fillId="0" borderId="0"/>
    <xf numFmtId="165"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3" fillId="0" borderId="0" applyFont="0" applyFill="0" applyBorder="0" applyAlignment="0" applyProtection="0"/>
    <xf numFmtId="0" fontId="2" fillId="0" borderId="0"/>
    <xf numFmtId="9" fontId="17" fillId="0" borderId="0" applyFont="0" applyFill="0" applyBorder="0" applyAlignment="0" applyProtection="0"/>
    <xf numFmtId="0" fontId="23" fillId="0" borderId="0" applyNumberFormat="0" applyFill="0" applyBorder="0" applyAlignment="0" applyProtection="0"/>
  </cellStyleXfs>
  <cellXfs count="253">
    <xf numFmtId="0" fontId="0" fillId="0" borderId="0" xfId="0"/>
    <xf numFmtId="0" fontId="0" fillId="0" borderId="2" xfId="0" applyBorder="1"/>
    <xf numFmtId="0" fontId="0" fillId="0" borderId="3" xfId="0" applyBorder="1"/>
    <xf numFmtId="0" fontId="0" fillId="0" borderId="4" xfId="0"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4" fillId="0" borderId="2" xfId="0" applyFont="1" applyBorder="1"/>
    <xf numFmtId="1" fontId="0" fillId="0" borderId="0" xfId="0" applyNumberFormat="1"/>
    <xf numFmtId="0" fontId="4" fillId="0" borderId="2" xfId="0" applyFont="1" applyBorder="1" applyAlignment="1">
      <alignment horizontal="right"/>
    </xf>
    <xf numFmtId="0" fontId="5" fillId="0" borderId="3" xfId="0" applyFont="1" applyBorder="1" applyAlignment="1">
      <alignment horizontal="right"/>
    </xf>
    <xf numFmtId="0" fontId="6" fillId="0" borderId="2" xfId="0" applyFont="1" applyBorder="1" applyAlignment="1">
      <alignment horizontal="center"/>
    </xf>
    <xf numFmtId="0" fontId="4" fillId="0" borderId="2" xfId="0" applyFont="1" applyBorder="1" applyAlignment="1">
      <alignment wrapText="1"/>
    </xf>
    <xf numFmtId="0" fontId="5" fillId="0" borderId="2" xfId="0" applyFont="1" applyBorder="1"/>
    <xf numFmtId="1" fontId="0" fillId="2" borderId="2" xfId="0" applyNumberFormat="1" applyFill="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xf>
    <xf numFmtId="0" fontId="5" fillId="0" borderId="4" xfId="0" applyFont="1" applyBorder="1" applyAlignment="1">
      <alignment horizontal="right"/>
    </xf>
    <xf numFmtId="0" fontId="6" fillId="0" borderId="2" xfId="0" applyFont="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0" fontId="4" fillId="0" borderId="3" xfId="0" applyFont="1" applyBorder="1" applyAlignment="1">
      <alignment horizontal="right"/>
    </xf>
    <xf numFmtId="0" fontId="0" fillId="3" borderId="2" xfId="0" applyFill="1" applyBorder="1" applyAlignment="1">
      <alignment horizontal="center"/>
    </xf>
    <xf numFmtId="0" fontId="0" fillId="0" borderId="1" xfId="0" applyBorder="1"/>
    <xf numFmtId="0" fontId="0" fillId="0" borderId="7" xfId="0" applyBorder="1" applyAlignment="1">
      <alignment horizontal="center"/>
    </xf>
    <xf numFmtId="0" fontId="0" fillId="0" borderId="15" xfId="0" applyBorder="1"/>
    <xf numFmtId="0" fontId="4" fillId="0" borderId="1" xfId="0" applyFont="1" applyBorder="1" applyAlignment="1">
      <alignment horizontal="left"/>
    </xf>
    <xf numFmtId="0" fontId="4" fillId="0" borderId="5" xfId="0" applyFont="1" applyBorder="1"/>
    <xf numFmtId="3" fontId="6" fillId="4" borderId="7" xfId="0" applyNumberFormat="1" applyFont="1" applyFill="1" applyBorder="1" applyAlignment="1">
      <alignment horizontal="center"/>
    </xf>
    <xf numFmtId="1" fontId="6" fillId="4" borderId="7" xfId="0" applyNumberFormat="1" applyFont="1" applyFill="1" applyBorder="1" applyAlignment="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1" fontId="5" fillId="2" borderId="3" xfId="0" applyNumberFormat="1" applyFont="1" applyFill="1" applyBorder="1" applyAlignment="1">
      <alignment horizontal="center"/>
    </xf>
    <xf numFmtId="1" fontId="6" fillId="2" borderId="6" xfId="0" applyNumberFormat="1" applyFont="1" applyFill="1" applyBorder="1" applyAlignment="1">
      <alignment horizontal="center"/>
    </xf>
    <xf numFmtId="1" fontId="0" fillId="2" borderId="7" xfId="0" applyNumberFormat="1" applyFill="1" applyBorder="1" applyAlignment="1">
      <alignment horizontal="center"/>
    </xf>
    <xf numFmtId="1" fontId="10"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 fontId="6" fillId="5" borderId="7" xfId="0" applyNumberFormat="1" applyFont="1" applyFill="1" applyBorder="1" applyAlignment="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4" fillId="0" borderId="2" xfId="0" applyFont="1" applyBorder="1" applyAlignment="1">
      <alignment vertical="center"/>
    </xf>
    <xf numFmtId="0" fontId="4" fillId="0" borderId="0" xfId="0" applyFont="1"/>
    <xf numFmtId="3" fontId="0" fillId="2" borderId="2" xfId="0" applyNumberFormat="1" applyFill="1" applyBorder="1" applyAlignment="1">
      <alignment horizontal="center" vertical="center"/>
    </xf>
    <xf numFmtId="0" fontId="4" fillId="0" borderId="2" xfId="0" applyFont="1" applyBorder="1" applyAlignment="1">
      <alignment vertical="center" wrapText="1"/>
    </xf>
    <xf numFmtId="0" fontId="0" fillId="0" borderId="0" xfId="0"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1" fontId="0" fillId="0" borderId="2" xfId="0" applyNumberFormat="1" applyBorder="1" applyAlignment="1" applyProtection="1">
      <alignment horizontal="center" vertical="center"/>
      <protection locked="0"/>
    </xf>
    <xf numFmtId="1" fontId="0" fillId="0" borderId="2" xfId="0" applyNumberFormat="1" applyBorder="1" applyAlignment="1">
      <alignment horizontal="center" vertical="center"/>
    </xf>
    <xf numFmtId="3" fontId="6" fillId="4" borderId="7" xfId="0" applyNumberFormat="1"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1" fontId="6" fillId="4" borderId="7" xfId="0" applyNumberFormat="1" applyFont="1" applyFill="1" applyBorder="1" applyAlignment="1">
      <alignment horizontal="center" vertical="center"/>
    </xf>
    <xf numFmtId="0" fontId="0" fillId="0" borderId="7" xfId="0" applyBorder="1" applyAlignment="1" applyProtection="1">
      <alignment horizontal="center" vertical="center"/>
      <protection locked="0"/>
    </xf>
    <xf numFmtId="0" fontId="4" fillId="0" borderId="1" xfId="0" applyFont="1" applyBorder="1" applyAlignment="1">
      <alignment horizontal="right" vertical="center"/>
    </xf>
    <xf numFmtId="0" fontId="0" fillId="0" borderId="16" xfId="0" applyBorder="1" applyAlignment="1" applyProtection="1">
      <alignment horizontal="center" vertical="center"/>
      <protection locked="0"/>
    </xf>
    <xf numFmtId="1" fontId="5" fillId="2" borderId="3" xfId="0" applyNumberFormat="1" applyFont="1" applyFill="1" applyBorder="1" applyAlignment="1">
      <alignment horizontal="center" vertical="center"/>
    </xf>
    <xf numFmtId="0" fontId="6" fillId="0" borderId="4" xfId="0" applyFont="1" applyBorder="1" applyAlignment="1">
      <alignment horizontal="right" vertical="center"/>
    </xf>
    <xf numFmtId="1" fontId="6" fillId="2" borderId="6" xfId="0" applyNumberFormat="1" applyFont="1" applyFill="1" applyBorder="1" applyAlignment="1">
      <alignment horizontal="center" vertical="center"/>
    </xf>
    <xf numFmtId="0" fontId="0" fillId="0" borderId="19" xfId="0" applyBorder="1" applyAlignment="1">
      <alignment horizontal="center"/>
    </xf>
    <xf numFmtId="0" fontId="6" fillId="0" borderId="3" xfId="0" applyFont="1" applyBorder="1" applyAlignment="1">
      <alignment vertical="center"/>
    </xf>
    <xf numFmtId="0" fontId="0" fillId="0" borderId="20" xfId="0" applyBorder="1"/>
    <xf numFmtId="0" fontId="5" fillId="0" borderId="1" xfId="0" applyFont="1" applyBorder="1" applyAlignment="1">
      <alignment horizontal="left" vertical="center"/>
    </xf>
    <xf numFmtId="0" fontId="5" fillId="0" borderId="15" xfId="0" applyFont="1" applyBorder="1" applyAlignment="1">
      <alignment horizontal="right" vertical="center"/>
    </xf>
    <xf numFmtId="3" fontId="0" fillId="0" borderId="2" xfId="0" applyNumberFormat="1" applyBorder="1" applyAlignment="1" applyProtection="1">
      <alignment horizontal="center"/>
      <protection locked="0"/>
    </xf>
    <xf numFmtId="0" fontId="4" fillId="0" borderId="3" xfId="0" applyFont="1" applyBorder="1" applyAlignment="1">
      <alignment vertical="center"/>
    </xf>
    <xf numFmtId="0" fontId="4" fillId="0" borderId="1" xfId="0" applyFont="1" applyBorder="1"/>
    <xf numFmtId="1" fontId="6" fillId="0" borderId="2" xfId="0" applyNumberFormat="1" applyFont="1" applyBorder="1" applyAlignment="1" applyProtection="1">
      <alignment horizontal="center"/>
      <protection locked="0"/>
    </xf>
    <xf numFmtId="1" fontId="6" fillId="5" borderId="2" xfId="0" applyNumberFormat="1" applyFont="1" applyFill="1" applyBorder="1" applyAlignment="1" applyProtection="1">
      <alignment horizontal="center"/>
      <protection locked="0"/>
    </xf>
    <xf numFmtId="3" fontId="0" fillId="0" borderId="2" xfId="0" applyNumberFormat="1" applyBorder="1" applyAlignment="1">
      <alignment horizontal="center"/>
    </xf>
    <xf numFmtId="3" fontId="4" fillId="0" borderId="2" xfId="0" applyNumberFormat="1" applyFont="1" applyBorder="1" applyAlignment="1" applyProtection="1">
      <alignment horizontal="center"/>
      <protection locked="0"/>
    </xf>
    <xf numFmtId="3" fontId="0" fillId="0" borderId="3"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vertical="center"/>
    </xf>
    <xf numFmtId="3" fontId="0" fillId="0" borderId="16" xfId="0" applyNumberFormat="1" applyBorder="1" applyAlignment="1" applyProtection="1">
      <alignment horizontal="center" vertical="center"/>
      <protection locked="0"/>
    </xf>
    <xf numFmtId="3" fontId="0" fillId="0" borderId="8" xfId="0" applyNumberFormat="1" applyBorder="1" applyAlignment="1">
      <alignment horizontal="center"/>
    </xf>
    <xf numFmtId="3" fontId="0" fillId="3" borderId="2" xfId="0" applyNumberFormat="1" applyFill="1" applyBorder="1" applyAlignment="1">
      <alignment horizontal="center"/>
    </xf>
    <xf numFmtId="3" fontId="0" fillId="0" borderId="3" xfId="0" applyNumberFormat="1" applyBorder="1"/>
    <xf numFmtId="1" fontId="15" fillId="0" borderId="0" xfId="0" applyNumberFormat="1" applyFont="1"/>
    <xf numFmtId="0" fontId="6" fillId="0" borderId="2" xfId="0" applyFont="1" applyBorder="1"/>
    <xf numFmtId="1" fontId="6" fillId="7" borderId="2" xfId="0" applyNumberFormat="1" applyFont="1" applyFill="1" applyBorder="1" applyAlignment="1">
      <alignment horizontal="center"/>
    </xf>
    <xf numFmtId="0" fontId="0" fillId="0" borderId="19" xfId="0" applyBorder="1"/>
    <xf numFmtId="0" fontId="4" fillId="0" borderId="0" xfId="0" applyFont="1" applyAlignment="1">
      <alignment horizontal="right"/>
    </xf>
    <xf numFmtId="165" fontId="0" fillId="0" borderId="0" xfId="0" applyNumberFormat="1"/>
    <xf numFmtId="0" fontId="5" fillId="2" borderId="15" xfId="0" applyFont="1" applyFill="1" applyBorder="1" applyAlignment="1">
      <alignment horizontal="right"/>
    </xf>
    <xf numFmtId="167" fontId="5" fillId="2" borderId="16" xfId="0" applyNumberFormat="1" applyFont="1" applyFill="1" applyBorder="1"/>
    <xf numFmtId="0" fontId="4" fillId="0" borderId="6" xfId="0" applyFont="1" applyBorder="1" applyAlignment="1">
      <alignment horizontal="center"/>
    </xf>
    <xf numFmtId="168" fontId="0" fillId="3" borderId="2" xfId="0" applyNumberFormat="1" applyFill="1" applyBorder="1" applyAlignment="1" applyProtection="1">
      <alignment horizontal="center" vertical="center"/>
      <protection locked="0"/>
    </xf>
    <xf numFmtId="169" fontId="0" fillId="3" borderId="2" xfId="0" applyNumberFormat="1" applyFill="1" applyBorder="1" applyAlignment="1" applyProtection="1">
      <alignment horizontal="center" vertical="center"/>
      <protection locked="0"/>
    </xf>
    <xf numFmtId="169" fontId="0" fillId="2" borderId="2" xfId="0" applyNumberFormat="1" applyFill="1" applyBorder="1" applyAlignment="1">
      <alignment horizontal="center" vertical="center"/>
    </xf>
    <xf numFmtId="0" fontId="0" fillId="3" borderId="7" xfId="0" applyFill="1" applyBorder="1" applyAlignment="1">
      <alignment horizontal="center"/>
    </xf>
    <xf numFmtId="0" fontId="0" fillId="0" borderId="16" xfId="0" applyBorder="1" applyAlignment="1">
      <alignment horizontal="center"/>
    </xf>
    <xf numFmtId="0" fontId="14" fillId="0" borderId="0" xfId="0" applyFont="1"/>
    <xf numFmtId="3" fontId="6" fillId="0" borderId="2" xfId="0" applyNumberFormat="1" applyFont="1" applyBorder="1" applyAlignment="1">
      <alignment horizontal="center"/>
    </xf>
    <xf numFmtId="3" fontId="0" fillId="0" borderId="22" xfId="0" applyNumberFormat="1" applyBorder="1" applyAlignment="1">
      <alignment horizontal="center"/>
    </xf>
    <xf numFmtId="3" fontId="0" fillId="0" borderId="0" xfId="0" applyNumberFormat="1" applyAlignment="1">
      <alignment horizontal="center"/>
    </xf>
    <xf numFmtId="3" fontId="0" fillId="6" borderId="0" xfId="0" applyNumberFormat="1" applyFill="1" applyAlignment="1">
      <alignment horizontal="center"/>
    </xf>
    <xf numFmtId="3" fontId="6" fillId="0" borderId="0" xfId="0" applyNumberFormat="1" applyFont="1" applyAlignment="1">
      <alignment horizontal="center"/>
    </xf>
    <xf numFmtId="3" fontId="0" fillId="0" borderId="23" xfId="0" applyNumberFormat="1" applyBorder="1" applyAlignment="1">
      <alignment horizontal="center"/>
    </xf>
    <xf numFmtId="3" fontId="6" fillId="0" borderId="8" xfId="0" applyNumberFormat="1" applyFont="1" applyBorder="1" applyAlignment="1">
      <alignment horizontal="center"/>
    </xf>
    <xf numFmtId="4" fontId="0" fillId="0" borderId="2" xfId="0" applyNumberFormat="1" applyBorder="1" applyAlignment="1">
      <alignment horizontal="center"/>
    </xf>
    <xf numFmtId="3" fontId="0" fillId="6" borderId="2" xfId="0" applyNumberFormat="1" applyFill="1" applyBorder="1" applyAlignment="1">
      <alignment horizontal="center"/>
    </xf>
    <xf numFmtId="0" fontId="4" fillId="0" borderId="0" xfId="0" applyFont="1" applyAlignment="1">
      <alignment vertical="center" wrapText="1"/>
    </xf>
    <xf numFmtId="167" fontId="4" fillId="0" borderId="0" xfId="0" applyNumberFormat="1" applyFont="1" applyAlignment="1">
      <alignment vertical="center"/>
    </xf>
    <xf numFmtId="0" fontId="6" fillId="0" borderId="2" xfId="0" quotePrefix="1" applyFont="1" applyBorder="1"/>
    <xf numFmtId="0" fontId="12" fillId="0" borderId="0" xfId="0" applyFont="1" applyAlignment="1">
      <alignment horizontal="left"/>
    </xf>
    <xf numFmtId="9" fontId="0" fillId="0" borderId="2" xfId="8" applyFont="1" applyBorder="1" applyAlignment="1" applyProtection="1">
      <alignment horizontal="center"/>
      <protection locked="0"/>
    </xf>
    <xf numFmtId="9" fontId="0" fillId="0" borderId="2" xfId="8" applyFont="1" applyBorder="1" applyAlignment="1">
      <alignment horizontal="center"/>
    </xf>
    <xf numFmtId="3" fontId="18" fillId="0" borderId="2" xfId="0" applyNumberFormat="1" applyFont="1" applyBorder="1" applyAlignment="1">
      <alignment horizontal="center"/>
    </xf>
    <xf numFmtId="3" fontId="17" fillId="0" borderId="2" xfId="0" applyNumberFormat="1" applyFont="1" applyBorder="1" applyAlignment="1">
      <alignment horizontal="center"/>
    </xf>
    <xf numFmtId="3" fontId="17" fillId="0" borderId="0" xfId="0" applyNumberFormat="1" applyFont="1" applyAlignment="1">
      <alignment horizontal="center"/>
    </xf>
    <xf numFmtId="0" fontId="1" fillId="0" borderId="2" xfId="7" applyFont="1" applyBorder="1" applyAlignment="1">
      <alignment horizontal="left" vertical="center" indent="1"/>
    </xf>
    <xf numFmtId="0" fontId="5" fillId="2" borderId="5" xfId="0" applyFont="1" applyFill="1" applyBorder="1" applyAlignment="1">
      <alignment horizontal="right"/>
    </xf>
    <xf numFmtId="167" fontId="5" fillId="2" borderId="6" xfId="0" applyNumberFormat="1" applyFont="1" applyFill="1" applyBorder="1"/>
    <xf numFmtId="4" fontId="16" fillId="3" borderId="2" xfId="0" applyNumberFormat="1" applyFont="1" applyFill="1" applyBorder="1" applyAlignment="1">
      <alignment horizontal="center"/>
    </xf>
    <xf numFmtId="0" fontId="5" fillId="0" borderId="0" xfId="0" applyFont="1" applyAlignment="1">
      <alignment horizontal="right"/>
    </xf>
    <xf numFmtId="167" fontId="5" fillId="0" borderId="0" xfId="0" applyNumberFormat="1" applyFont="1"/>
    <xf numFmtId="0" fontId="17" fillId="0" borderId="0" xfId="0" applyFont="1"/>
    <xf numFmtId="0" fontId="0" fillId="0" borderId="8" xfId="0" applyBorder="1" applyAlignment="1">
      <alignment vertical="center"/>
    </xf>
    <xf numFmtId="0" fontId="0" fillId="0" borderId="8" xfId="0" applyBorder="1" applyAlignment="1">
      <alignment horizontal="center" vertical="center"/>
    </xf>
    <xf numFmtId="1" fontId="6" fillId="4" borderId="2" xfId="0" applyNumberFormat="1" applyFont="1" applyFill="1" applyBorder="1" applyAlignment="1">
      <alignment horizontal="center"/>
    </xf>
    <xf numFmtId="3" fontId="4" fillId="2" borderId="2" xfId="0" applyNumberFormat="1" applyFont="1" applyFill="1" applyBorder="1" applyAlignment="1">
      <alignment horizontal="center"/>
    </xf>
    <xf numFmtId="169" fontId="0" fillId="3" borderId="3" xfId="0" applyNumberFormat="1" applyFill="1" applyBorder="1" applyAlignment="1" applyProtection="1">
      <alignment horizontal="center"/>
      <protection locked="0"/>
    </xf>
    <xf numFmtId="169" fontId="0" fillId="2" borderId="3" xfId="0" applyNumberFormat="1" applyFill="1" applyBorder="1" applyAlignment="1">
      <alignment horizontal="center" vertical="center"/>
    </xf>
    <xf numFmtId="3" fontId="6" fillId="5" borderId="2" xfId="0" applyNumberFormat="1" applyFont="1" applyFill="1" applyBorder="1" applyAlignment="1">
      <alignment horizontal="center"/>
    </xf>
    <xf numFmtId="1" fontId="6" fillId="5" borderId="2" xfId="0" applyNumberFormat="1" applyFont="1" applyFill="1" applyBorder="1" applyAlignment="1">
      <alignment horizontal="center" vertical="center"/>
    </xf>
    <xf numFmtId="1" fontId="6" fillId="0" borderId="2" xfId="0" applyNumberFormat="1" applyFont="1" applyBorder="1" applyAlignment="1">
      <alignment horizontal="center"/>
    </xf>
    <xf numFmtId="1" fontId="6" fillId="5" borderId="2" xfId="0" applyNumberFormat="1" applyFont="1" applyFill="1" applyBorder="1" applyAlignment="1">
      <alignment horizontal="center"/>
    </xf>
    <xf numFmtId="0" fontId="17" fillId="0" borderId="4" xfId="0" applyFont="1" applyBorder="1"/>
    <xf numFmtId="0" fontId="25" fillId="0" borderId="2" xfId="0" applyFont="1" applyBorder="1"/>
    <xf numFmtId="0" fontId="20" fillId="0" borderId="0" xfId="0" applyFont="1"/>
    <xf numFmtId="0" fontId="26" fillId="0" borderId="2" xfId="9" applyFont="1" applyBorder="1"/>
    <xf numFmtId="0" fontId="6" fillId="0" borderId="2" xfId="0" applyFont="1" applyBorder="1" applyAlignment="1">
      <alignment horizontal="left" indent="2"/>
    </xf>
    <xf numFmtId="0" fontId="4" fillId="0" borderId="3" xfId="0" applyFont="1" applyBorder="1"/>
    <xf numFmtId="0" fontId="17" fillId="0" borderId="2" xfId="0" applyFont="1" applyBorder="1"/>
    <xf numFmtId="1" fontId="6" fillId="5" borderId="3" xfId="0" applyNumberFormat="1" applyFont="1" applyFill="1" applyBorder="1" applyAlignment="1">
      <alignment horizontal="center"/>
    </xf>
    <xf numFmtId="0" fontId="17" fillId="0" borderId="20" xfId="0" applyFont="1" applyBorder="1"/>
    <xf numFmtId="0" fontId="17" fillId="0" borderId="8" xfId="0" applyFont="1" applyBorder="1"/>
    <xf numFmtId="0" fontId="28" fillId="0" borderId="2" xfId="7" applyFont="1" applyBorder="1" applyAlignment="1">
      <alignment horizontal="left" vertical="center" indent="1"/>
    </xf>
    <xf numFmtId="0" fontId="19" fillId="0" borderId="2" xfId="0" applyFont="1" applyBorder="1"/>
    <xf numFmtId="0" fontId="17" fillId="0" borderId="3" xfId="0" applyFont="1" applyBorder="1"/>
    <xf numFmtId="4" fontId="20" fillId="3" borderId="2" xfId="0" applyNumberFormat="1" applyFont="1" applyFill="1" applyBorder="1" applyAlignment="1">
      <alignment horizontal="center"/>
    </xf>
    <xf numFmtId="4" fontId="29" fillId="0" borderId="2" xfId="0" applyNumberFormat="1" applyFont="1" applyBorder="1" applyAlignment="1">
      <alignment horizontal="center"/>
    </xf>
    <xf numFmtId="0" fontId="20" fillId="0" borderId="2" xfId="0" applyFont="1" applyBorder="1"/>
    <xf numFmtId="4" fontId="20" fillId="0" borderId="2" xfId="0" applyNumberFormat="1" applyFont="1" applyBorder="1" applyAlignment="1">
      <alignment horizontal="center"/>
    </xf>
    <xf numFmtId="9" fontId="0" fillId="4" borderId="2" xfId="8" applyFont="1" applyFill="1" applyBorder="1" applyAlignment="1">
      <alignment horizontal="center"/>
    </xf>
    <xf numFmtId="0" fontId="18" fillId="0" borderId="1" xfId="0" applyFont="1" applyBorder="1"/>
    <xf numFmtId="0" fontId="30" fillId="0" borderId="2" xfId="0" applyFont="1" applyBorder="1" applyAlignment="1">
      <alignment wrapText="1"/>
    </xf>
    <xf numFmtId="0" fontId="30" fillId="0" borderId="2" xfId="0" applyFont="1" applyBorder="1"/>
    <xf numFmtId="1" fontId="0" fillId="0" borderId="2" xfId="0" applyNumberFormat="1" applyBorder="1" applyAlignment="1">
      <alignment horizontal="center"/>
    </xf>
    <xf numFmtId="0" fontId="34" fillId="0" borderId="2" xfId="9" applyFont="1" applyFill="1" applyBorder="1"/>
    <xf numFmtId="0" fontId="11" fillId="0" borderId="0" xfId="0" applyFont="1" applyAlignment="1">
      <alignment horizontal="left"/>
    </xf>
    <xf numFmtId="0" fontId="4" fillId="2" borderId="5" xfId="0" applyFont="1" applyFill="1" applyBorder="1" applyAlignment="1">
      <alignment horizontal="center"/>
    </xf>
    <xf numFmtId="0" fontId="0" fillId="2" borderId="6" xfId="0"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4" fillId="0" borderId="0" xfId="0" applyFont="1" applyAlignment="1">
      <alignment horizontal="center"/>
    </xf>
    <xf numFmtId="0" fontId="4" fillId="0" borderId="4" xfId="0" applyFont="1" applyBorder="1"/>
    <xf numFmtId="0" fontId="5" fillId="0" borderId="2" xfId="0" applyFont="1" applyBorder="1" applyAlignment="1">
      <alignment horizontal="left"/>
    </xf>
    <xf numFmtId="0" fontId="4" fillId="0" borderId="1" xfId="0" applyFont="1" applyBorder="1" applyAlignment="1">
      <alignment vertical="center"/>
    </xf>
    <xf numFmtId="0" fontId="4" fillId="0" borderId="1" xfId="0" applyFont="1" applyBorder="1" applyAlignment="1">
      <alignment horizontal="right"/>
    </xf>
    <xf numFmtId="0" fontId="11" fillId="0" borderId="0" xfId="1" applyFont="1" applyAlignment="1">
      <alignment horizontal="left"/>
    </xf>
    <xf numFmtId="0" fontId="12" fillId="0" borderId="0" xfId="1" applyFont="1" applyAlignment="1">
      <alignment horizontal="left"/>
    </xf>
    <xf numFmtId="0" fontId="4" fillId="0" borderId="0" xfId="1"/>
    <xf numFmtId="0" fontId="4" fillId="0" borderId="0" xfId="1" applyAlignment="1">
      <alignment horizontal="center"/>
    </xf>
    <xf numFmtId="0" fontId="4" fillId="0" borderId="4" xfId="1" applyBorder="1"/>
    <xf numFmtId="0" fontId="4" fillId="0" borderId="4" xfId="1" applyBorder="1" applyAlignment="1">
      <alignment horizontal="center"/>
    </xf>
    <xf numFmtId="0" fontId="4" fillId="0" borderId="2" xfId="1" applyBorder="1"/>
    <xf numFmtId="0" fontId="14" fillId="0" borderId="0" xfId="0" applyFont="1" applyAlignment="1">
      <alignment wrapText="1"/>
    </xf>
    <xf numFmtId="0" fontId="5" fillId="0" borderId="1" xfId="0" applyFont="1" applyBorder="1"/>
    <xf numFmtId="0" fontId="6" fillId="0" borderId="1" xfId="0" quotePrefix="1" applyFont="1" applyBorder="1"/>
    <xf numFmtId="0" fontId="4" fillId="0" borderId="1" xfId="0" applyFont="1" applyBorder="1" applyAlignment="1">
      <alignment horizontal="left" wrapText="1" indent="1"/>
    </xf>
    <xf numFmtId="0" fontId="4" fillId="0" borderId="1" xfId="0" applyFont="1" applyBorder="1" applyAlignment="1">
      <alignment horizontal="left" indent="1"/>
    </xf>
    <xf numFmtId="0" fontId="35" fillId="0" borderId="1" xfId="7" applyFont="1" applyBorder="1" applyAlignment="1">
      <alignment horizontal="left" vertical="center" indent="1"/>
    </xf>
    <xf numFmtId="0" fontId="4" fillId="0" borderId="8" xfId="0" applyFont="1" applyBorder="1" applyAlignment="1">
      <alignment horizontal="center"/>
    </xf>
    <xf numFmtId="3" fontId="4" fillId="6" borderId="0" xfId="0" applyNumberFormat="1" applyFont="1" applyFill="1" applyAlignment="1">
      <alignment horizontal="center"/>
    </xf>
    <xf numFmtId="0" fontId="11" fillId="0" borderId="0" xfId="0" applyFont="1" applyAlignment="1">
      <alignment horizontal="left"/>
    </xf>
    <xf numFmtId="0" fontId="14" fillId="0" borderId="0" xfId="0" applyFont="1" applyAlignment="1">
      <alignment horizontal="left"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4" fillId="8" borderId="5" xfId="0" applyFont="1" applyFill="1" applyBorder="1" applyAlignment="1">
      <alignment horizontal="center"/>
    </xf>
    <xf numFmtId="0" fontId="4" fillId="8" borderId="24" xfId="0" applyFont="1" applyFill="1" applyBorder="1" applyAlignment="1">
      <alignment horizontal="center"/>
    </xf>
    <xf numFmtId="0" fontId="0" fillId="0" borderId="0" xfId="0"/>
    <xf numFmtId="0" fontId="8" fillId="0" borderId="10" xfId="0" applyFont="1" applyBorder="1" applyAlignment="1">
      <alignment horizontal="left" wrapText="1"/>
    </xf>
    <xf numFmtId="0" fontId="8" fillId="0" borderId="17" xfId="0" applyFont="1" applyBorder="1" applyAlignment="1">
      <alignment horizontal="left" wrapText="1"/>
    </xf>
    <xf numFmtId="0" fontId="8" fillId="0" borderId="11" xfId="0" applyFont="1" applyBorder="1" applyAlignment="1">
      <alignment horizontal="left" wrapText="1"/>
    </xf>
    <xf numFmtId="0" fontId="8" fillId="0" borderId="9" xfId="0" applyFont="1" applyBorder="1" applyAlignment="1">
      <alignment horizontal="left"/>
    </xf>
    <xf numFmtId="0" fontId="8" fillId="0" borderId="0" xfId="0" applyFont="1" applyAlignment="1">
      <alignment horizontal="left"/>
    </xf>
    <xf numFmtId="0" fontId="8" fillId="0" borderId="12" xfId="0" applyFont="1" applyBorder="1" applyAlignment="1">
      <alignment horizontal="left"/>
    </xf>
    <xf numFmtId="0" fontId="8" fillId="0" borderId="13" xfId="0" applyFont="1" applyBorder="1" applyAlignment="1">
      <alignment horizontal="left" wrapText="1"/>
    </xf>
    <xf numFmtId="0" fontId="8" fillId="0" borderId="18" xfId="0" applyFont="1" applyBorder="1" applyAlignment="1">
      <alignment horizontal="left" wrapText="1"/>
    </xf>
    <xf numFmtId="0" fontId="8" fillId="0" borderId="14" xfId="0" applyFont="1" applyBorder="1" applyAlignment="1">
      <alignment horizontal="left"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2" borderId="5" xfId="0" applyFont="1" applyFill="1" applyBorder="1" applyAlignment="1">
      <alignment horizontal="center"/>
    </xf>
    <xf numFmtId="0" fontId="0" fillId="2" borderId="6" xfId="0" applyFill="1" applyBorder="1" applyAlignment="1">
      <alignment horizontal="center"/>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applyAlignment="1">
      <alignment horizontal="left" wrapText="1"/>
    </xf>
    <xf numFmtId="0" fontId="4" fillId="4" borderId="4" xfId="0" applyFont="1" applyFill="1" applyBorder="1" applyAlignment="1">
      <alignment horizontal="center"/>
    </xf>
    <xf numFmtId="0" fontId="12" fillId="0" borderId="0" xfId="0" applyFont="1" applyAlignment="1">
      <alignment horizontal="left"/>
    </xf>
    <xf numFmtId="0" fontId="12" fillId="0" borderId="0" xfId="1" applyFont="1" applyAlignment="1">
      <alignment horizontal="left"/>
    </xf>
    <xf numFmtId="0" fontId="4" fillId="2" borderId="5" xfId="1" applyFill="1" applyBorder="1" applyAlignment="1">
      <alignment horizontal="center"/>
    </xf>
    <xf numFmtId="0" fontId="4" fillId="2" borderId="6" xfId="1" applyFill="1" applyBorder="1" applyAlignment="1">
      <alignment horizont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33"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9" xfId="0" applyFont="1" applyBorder="1" applyAlignment="1">
      <alignment horizontal="left" vertical="top" wrapText="1"/>
    </xf>
    <xf numFmtId="0" fontId="22" fillId="0" borderId="12" xfId="0" applyFont="1" applyBorder="1" applyAlignment="1">
      <alignment horizontal="left" vertical="top" wrapText="1"/>
    </xf>
    <xf numFmtId="0" fontId="17" fillId="2" borderId="6" xfId="0" applyFont="1" applyFill="1" applyBorder="1" applyAlignment="1">
      <alignment horizontal="center"/>
    </xf>
    <xf numFmtId="0" fontId="33" fillId="0" borderId="13" xfId="0" applyFont="1" applyBorder="1" applyAlignment="1">
      <alignment horizontal="left" vertical="top" wrapText="1"/>
    </xf>
    <xf numFmtId="0" fontId="22" fillId="0" borderId="14" xfId="0" applyFont="1" applyBorder="1" applyAlignment="1">
      <alignment horizontal="left" vertical="top" wrapText="1"/>
    </xf>
    <xf numFmtId="0" fontId="4" fillId="2" borderId="21" xfId="0" applyFont="1" applyFill="1" applyBorder="1" applyAlignment="1">
      <alignment horizontal="center"/>
    </xf>
    <xf numFmtId="0" fontId="4" fillId="2" borderId="6" xfId="0" applyFont="1" applyFill="1" applyBorder="1" applyAlignment="1">
      <alignment horizontal="center"/>
    </xf>
    <xf numFmtId="0" fontId="19" fillId="2" borderId="5" xfId="0" applyFont="1" applyFill="1" applyBorder="1" applyAlignment="1">
      <alignment horizontal="left"/>
    </xf>
    <xf numFmtId="0" fontId="19" fillId="2" borderId="21" xfId="0" applyFont="1" applyFill="1" applyBorder="1" applyAlignment="1">
      <alignment horizontal="left"/>
    </xf>
    <xf numFmtId="0" fontId="19" fillId="2" borderId="6" xfId="0" applyFont="1" applyFill="1" applyBorder="1" applyAlignment="1">
      <alignment horizontal="left"/>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4" fillId="0" borderId="5" xfId="0" applyFont="1" applyBorder="1" applyAlignment="1">
      <alignment horizontal="center"/>
    </xf>
    <xf numFmtId="0" fontId="0" fillId="0" borderId="6" xfId="0" applyBorder="1" applyAlignment="1">
      <alignment horizontal="center"/>
    </xf>
    <xf numFmtId="0" fontId="9" fillId="0" borderId="9" xfId="0" applyFont="1" applyFill="1" applyBorder="1" applyAlignment="1">
      <alignment horizontal="left" wrapText="1"/>
    </xf>
    <xf numFmtId="0" fontId="9" fillId="0" borderId="0" xfId="0" applyFont="1" applyFill="1" applyAlignment="1">
      <alignment horizontal="left" wrapText="1"/>
    </xf>
    <xf numFmtId="0" fontId="9" fillId="0" borderId="12" xfId="0" applyFont="1" applyFill="1" applyBorder="1" applyAlignment="1">
      <alignment horizontal="left" wrapText="1"/>
    </xf>
    <xf numFmtId="0" fontId="8" fillId="0" borderId="10"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2" xfId="0" applyFont="1" applyFill="1" applyBorder="1" applyAlignment="1">
      <alignment horizontal="left" vertical="top" wrapText="1"/>
    </xf>
  </cellXfs>
  <cellStyles count="10">
    <cellStyle name="Comma 2" xfId="5" xr:uid="{00000000-0005-0000-0000-000000000000}"/>
    <cellStyle name="Comma 3" xfId="3" xr:uid="{00000000-0005-0000-0000-000001000000}"/>
    <cellStyle name="Currency 2" xfId="4" xr:uid="{00000000-0005-0000-0000-000002000000}"/>
    <cellStyle name="Currency 3" xfId="6" xr:uid="{00000000-0005-0000-0000-000003000000}"/>
    <cellStyle name="Hyperlink" xfId="9" builtinId="8"/>
    <cellStyle name="Normal" xfId="0" builtinId="0"/>
    <cellStyle name="Normal 2" xfId="1" xr:uid="{00000000-0005-0000-0000-000005000000}"/>
    <cellStyle name="Normal 3" xfId="2" xr:uid="{00000000-0005-0000-0000-000006000000}"/>
    <cellStyle name="Normal 3 2"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88D5-87C8-4B97-9190-64CDCCE9F64D}">
  <dimension ref="B1:F35"/>
  <sheetViews>
    <sheetView zoomScale="80" zoomScaleNormal="80" workbookViewId="0">
      <selection activeCell="B24" sqref="B24:F24"/>
    </sheetView>
  </sheetViews>
  <sheetFormatPr defaultColWidth="8.6328125" defaultRowHeight="12.5" x14ac:dyDescent="0.25"/>
  <cols>
    <col min="1" max="1" width="2.1796875" customWidth="1"/>
    <col min="2" max="2" width="47.6328125" customWidth="1"/>
    <col min="3" max="3" width="12.6328125" style="4" customWidth="1"/>
    <col min="4" max="4" width="3.36328125" style="4" customWidth="1"/>
    <col min="5" max="5" width="50.453125" customWidth="1"/>
    <col min="6" max="6" width="14.6328125" style="4" customWidth="1"/>
  </cols>
  <sheetData>
    <row r="1" spans="2:6" ht="19.5" customHeight="1" x14ac:dyDescent="0.35">
      <c r="B1" s="184" t="s">
        <v>0</v>
      </c>
      <c r="C1" s="184"/>
      <c r="D1" s="184"/>
      <c r="E1" s="184"/>
      <c r="F1" s="184"/>
    </row>
    <row r="2" spans="2:6" ht="35.5" customHeight="1" x14ac:dyDescent="0.25">
      <c r="B2" s="185" t="s">
        <v>1</v>
      </c>
      <c r="C2" s="185"/>
      <c r="D2" s="185"/>
      <c r="E2" s="185"/>
      <c r="F2" s="185"/>
    </row>
    <row r="3" spans="2:6" ht="13" thickBot="1" x14ac:dyDescent="0.3"/>
    <row r="4" spans="2:6" ht="13.5" thickBot="1" x14ac:dyDescent="0.35">
      <c r="B4" s="186" t="s">
        <v>2</v>
      </c>
      <c r="C4" s="187"/>
      <c r="E4" s="188" t="s">
        <v>3</v>
      </c>
      <c r="F4" s="189"/>
    </row>
    <row r="5" spans="2:6" ht="13" thickBot="1" x14ac:dyDescent="0.3">
      <c r="E5" s="48"/>
      <c r="F5" s="164"/>
    </row>
    <row r="6" spans="2:6" ht="13" thickBot="1" x14ac:dyDescent="0.3">
      <c r="B6" s="3" t="s">
        <v>4</v>
      </c>
      <c r="C6" s="18" t="s">
        <v>5</v>
      </c>
      <c r="E6" s="165" t="s">
        <v>6</v>
      </c>
      <c r="F6" s="94" t="s">
        <v>5</v>
      </c>
    </row>
    <row r="7" spans="2:6" x14ac:dyDescent="0.25">
      <c r="B7" s="126"/>
      <c r="C7" s="43"/>
      <c r="E7" s="126"/>
      <c r="F7" s="127"/>
    </row>
    <row r="8" spans="2:6" x14ac:dyDescent="0.25">
      <c r="B8" s="10" t="s">
        <v>7</v>
      </c>
      <c r="C8" s="23">
        <v>12000</v>
      </c>
      <c r="E8" s="10" t="s">
        <v>8</v>
      </c>
      <c r="F8" s="46">
        <f>C8/C10</f>
        <v>4000</v>
      </c>
    </row>
    <row r="9" spans="2:6" x14ac:dyDescent="0.25">
      <c r="B9" s="52"/>
      <c r="C9" s="7"/>
      <c r="E9" s="1"/>
      <c r="F9" s="5"/>
    </row>
    <row r="10" spans="2:6" ht="27" x14ac:dyDescent="0.25">
      <c r="B10" s="15" t="s">
        <v>176</v>
      </c>
      <c r="C10" s="45">
        <v>3</v>
      </c>
      <c r="E10" s="47" t="s">
        <v>175</v>
      </c>
      <c r="F10" s="46">
        <f>C10*C14</f>
        <v>12</v>
      </c>
    </row>
    <row r="11" spans="2:6" x14ac:dyDescent="0.25">
      <c r="B11" s="52"/>
      <c r="C11" s="25"/>
      <c r="E11" s="1"/>
      <c r="F11" s="54"/>
    </row>
    <row r="12" spans="2:6" ht="14.5" x14ac:dyDescent="0.25">
      <c r="B12" s="10" t="s">
        <v>9</v>
      </c>
      <c r="C12" s="24">
        <v>20</v>
      </c>
      <c r="E12" s="10" t="s">
        <v>10</v>
      </c>
      <c r="F12" s="46">
        <f>F10*C12</f>
        <v>240</v>
      </c>
    </row>
    <row r="13" spans="2:6" x14ac:dyDescent="0.25">
      <c r="B13" s="52"/>
      <c r="C13" s="25"/>
      <c r="E13" s="52"/>
      <c r="F13" s="56"/>
    </row>
    <row r="14" spans="2:6" ht="14.5" x14ac:dyDescent="0.25">
      <c r="B14" s="10" t="s">
        <v>11</v>
      </c>
      <c r="C14" s="24">
        <v>4</v>
      </c>
      <c r="E14" s="47" t="s">
        <v>12</v>
      </c>
      <c r="F14" s="46">
        <f>ROUND(C16/C10/C14,0)</f>
        <v>2</v>
      </c>
    </row>
    <row r="15" spans="2:6" x14ac:dyDescent="0.25">
      <c r="B15" s="52"/>
      <c r="C15" s="25"/>
      <c r="E15" s="1"/>
      <c r="F15" s="5"/>
    </row>
    <row r="16" spans="2:6" ht="15" x14ac:dyDescent="0.3">
      <c r="B16" s="10" t="s">
        <v>13</v>
      </c>
      <c r="C16" s="24">
        <v>20</v>
      </c>
      <c r="E16" s="166" t="s">
        <v>14</v>
      </c>
      <c r="F16" s="46">
        <f>C8/F12</f>
        <v>50</v>
      </c>
    </row>
    <row r="17" spans="2:6" ht="13" x14ac:dyDescent="0.3">
      <c r="B17" s="47"/>
      <c r="C17" s="25"/>
      <c r="E17" s="16" t="s">
        <v>15</v>
      </c>
      <c r="F17" s="46">
        <f>F16/5</f>
        <v>10</v>
      </c>
    </row>
    <row r="18" spans="2:6" ht="15" x14ac:dyDescent="0.3">
      <c r="B18" s="47"/>
      <c r="C18" s="7"/>
      <c r="E18" s="14" t="s">
        <v>16</v>
      </c>
      <c r="F18" s="56"/>
    </row>
    <row r="19" spans="2:6" ht="13" x14ac:dyDescent="0.3">
      <c r="B19" s="52"/>
      <c r="C19" s="7"/>
      <c r="E19" s="16" t="s">
        <v>17</v>
      </c>
      <c r="F19" s="46">
        <f>+F17*7</f>
        <v>70</v>
      </c>
    </row>
    <row r="20" spans="2:6" x14ac:dyDescent="0.25">
      <c r="B20" s="1"/>
      <c r="C20" s="5"/>
      <c r="E20" s="10"/>
      <c r="F20" s="157"/>
    </row>
    <row r="21" spans="2:6" ht="22.5" customHeight="1" thickBot="1" x14ac:dyDescent="0.3">
      <c r="B21" s="10" t="s">
        <v>177</v>
      </c>
      <c r="C21" s="130">
        <v>45139</v>
      </c>
      <c r="E21" s="141" t="s">
        <v>178</v>
      </c>
      <c r="F21" s="131">
        <f>C21+(F16/5*7)</f>
        <v>45209</v>
      </c>
    </row>
    <row r="22" spans="2:6" ht="22.5" customHeight="1" x14ac:dyDescent="0.25">
      <c r="C22" s="9"/>
    </row>
    <row r="23" spans="2:6" ht="24.75" customHeight="1" x14ac:dyDescent="0.25">
      <c r="B23" s="191" t="s">
        <v>179</v>
      </c>
      <c r="C23" s="192"/>
      <c r="D23" s="192"/>
      <c r="E23" s="192"/>
      <c r="F23" s="193"/>
    </row>
    <row r="24" spans="2:6" ht="24.75" customHeight="1" x14ac:dyDescent="0.25">
      <c r="B24" s="245" t="s">
        <v>199</v>
      </c>
      <c r="C24" s="246"/>
      <c r="D24" s="246"/>
      <c r="E24" s="246"/>
      <c r="F24" s="247"/>
    </row>
    <row r="25" spans="2:6" ht="15" customHeight="1" x14ac:dyDescent="0.25">
      <c r="B25" s="194" t="s">
        <v>180</v>
      </c>
      <c r="C25" s="195"/>
      <c r="D25" s="195"/>
      <c r="E25" s="195"/>
      <c r="F25" s="196"/>
    </row>
    <row r="26" spans="2:6" ht="13.5" customHeight="1" x14ac:dyDescent="0.25">
      <c r="B26" s="194" t="s">
        <v>18</v>
      </c>
      <c r="C26" s="195"/>
      <c r="D26" s="195"/>
      <c r="E26" s="195"/>
      <c r="F26" s="196"/>
    </row>
    <row r="27" spans="2:6" ht="38.25" customHeight="1" x14ac:dyDescent="0.25">
      <c r="B27" s="197" t="s">
        <v>19</v>
      </c>
      <c r="C27" s="198"/>
      <c r="D27" s="198"/>
      <c r="E27" s="198"/>
      <c r="F27" s="199"/>
    </row>
    <row r="28" spans="2:6" x14ac:dyDescent="0.25">
      <c r="C28"/>
      <c r="D28"/>
      <c r="F28"/>
    </row>
    <row r="29" spans="2:6" x14ac:dyDescent="0.25">
      <c r="C29"/>
      <c r="D29"/>
      <c r="F29"/>
    </row>
    <row r="30" spans="2:6" x14ac:dyDescent="0.25">
      <c r="C30"/>
      <c r="D30"/>
      <c r="F30"/>
    </row>
    <row r="31" spans="2:6" x14ac:dyDescent="0.25">
      <c r="C31"/>
      <c r="D31"/>
      <c r="F31"/>
    </row>
    <row r="32" spans="2:6" x14ac:dyDescent="0.25">
      <c r="C32"/>
      <c r="D32"/>
      <c r="F32"/>
    </row>
    <row r="33" spans="3:6" x14ac:dyDescent="0.25">
      <c r="C33"/>
      <c r="D33"/>
      <c r="F33"/>
    </row>
    <row r="34" spans="3:6" x14ac:dyDescent="0.25">
      <c r="C34"/>
      <c r="D34"/>
      <c r="F34"/>
    </row>
    <row r="35" spans="3:6" x14ac:dyDescent="0.25">
      <c r="C35"/>
      <c r="D35"/>
      <c r="E35" s="190"/>
      <c r="F35" s="190"/>
    </row>
  </sheetData>
  <sheetProtection formatCells="0" formatColumns="0" formatRows="0" insertColumns="0" insertRows="0" insertHyperlinks="0" selectLockedCells="1" sort="0" autoFilter="0" pivotTables="0"/>
  <mergeCells count="10">
    <mergeCell ref="B1:F1"/>
    <mergeCell ref="B2:F2"/>
    <mergeCell ref="B4:C4"/>
    <mergeCell ref="E4:F4"/>
    <mergeCell ref="E35:F35"/>
    <mergeCell ref="B23:F23"/>
    <mergeCell ref="B24:F24"/>
    <mergeCell ref="B25:F25"/>
    <mergeCell ref="B26:F26"/>
    <mergeCell ref="B27:F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8"/>
  <sheetViews>
    <sheetView tabSelected="1" zoomScale="90" zoomScaleNormal="90" workbookViewId="0">
      <selection activeCell="E11" sqref="E11"/>
    </sheetView>
  </sheetViews>
  <sheetFormatPr defaultColWidth="8.6328125" defaultRowHeight="12.5" x14ac:dyDescent="0.25"/>
  <cols>
    <col min="1" max="1" width="2.1796875" customWidth="1"/>
    <col min="2" max="2" width="54.6328125" customWidth="1"/>
    <col min="3" max="3" width="14.1796875" style="4" customWidth="1"/>
    <col min="4" max="4" width="3.6328125" style="4" customWidth="1"/>
    <col min="5" max="5" width="62.36328125" customWidth="1"/>
    <col min="6" max="6" width="13.1796875" style="4" customWidth="1"/>
  </cols>
  <sheetData>
    <row r="1" spans="2:10" ht="19.5" customHeight="1" x14ac:dyDescent="0.35">
      <c r="B1" s="184" t="s">
        <v>20</v>
      </c>
      <c r="C1" s="184"/>
      <c r="D1" s="184"/>
      <c r="E1" s="184"/>
      <c r="F1" s="184"/>
    </row>
    <row r="2" spans="2:10" ht="24" customHeight="1" x14ac:dyDescent="0.25">
      <c r="B2" s="185" t="s">
        <v>21</v>
      </c>
      <c r="C2" s="185"/>
      <c r="D2" s="185"/>
      <c r="E2" s="185"/>
      <c r="F2" s="185"/>
    </row>
    <row r="3" spans="2:10" ht="13" thickBot="1" x14ac:dyDescent="0.3"/>
    <row r="4" spans="2:10" ht="13" thickBot="1" x14ac:dyDescent="0.3">
      <c r="B4" s="206" t="s">
        <v>22</v>
      </c>
      <c r="C4" s="207"/>
      <c r="E4" s="208" t="s">
        <v>23</v>
      </c>
      <c r="F4" s="209"/>
    </row>
    <row r="5" spans="2:10" ht="13" thickBot="1" x14ac:dyDescent="0.3"/>
    <row r="6" spans="2:10" ht="13" thickBot="1" x14ac:dyDescent="0.3">
      <c r="B6" s="3" t="s">
        <v>4</v>
      </c>
      <c r="C6" s="162" t="s">
        <v>5</v>
      </c>
      <c r="E6" s="3" t="s">
        <v>6</v>
      </c>
      <c r="F6" s="163" t="s">
        <v>5</v>
      </c>
    </row>
    <row r="7" spans="2:10" x14ac:dyDescent="0.25">
      <c r="B7" s="1"/>
      <c r="C7" s="29"/>
      <c r="E7" s="1"/>
      <c r="F7" s="5"/>
    </row>
    <row r="8" spans="2:10" ht="13" x14ac:dyDescent="0.3">
      <c r="B8" s="10" t="s">
        <v>24</v>
      </c>
      <c r="C8" s="33">
        <f>'Durée du terrain'!C8</f>
        <v>12000</v>
      </c>
      <c r="E8" s="10" t="s">
        <v>25</v>
      </c>
      <c r="F8" s="22">
        <f>C8/C10</f>
        <v>600</v>
      </c>
    </row>
    <row r="9" spans="2:10" x14ac:dyDescent="0.25">
      <c r="B9" s="1"/>
      <c r="C9" s="29"/>
      <c r="E9" s="167" t="s">
        <v>26</v>
      </c>
      <c r="F9" s="17">
        <f>C12*5</f>
        <v>50</v>
      </c>
    </row>
    <row r="10" spans="2:10" ht="13" x14ac:dyDescent="0.3">
      <c r="B10" s="10" t="s">
        <v>27</v>
      </c>
      <c r="C10" s="34">
        <f>'Durée du terrain'!C16</f>
        <v>20</v>
      </c>
      <c r="E10" s="142" t="s">
        <v>182</v>
      </c>
      <c r="F10" s="22">
        <f>C8/F9</f>
        <v>240</v>
      </c>
      <c r="H10" s="48"/>
    </row>
    <row r="11" spans="2:10" ht="13" x14ac:dyDescent="0.3">
      <c r="B11" s="10"/>
      <c r="C11" s="35"/>
      <c r="E11" s="87" t="s">
        <v>28</v>
      </c>
      <c r="F11" s="88">
        <f>'Durée du terrain'!F19</f>
        <v>70</v>
      </c>
    </row>
    <row r="12" spans="2:10" ht="28.5" customHeight="1" x14ac:dyDescent="0.3">
      <c r="B12" s="15" t="s">
        <v>181</v>
      </c>
      <c r="C12" s="44">
        <f>'Durée du terrain'!F17</f>
        <v>10</v>
      </c>
      <c r="E12" s="50" t="s">
        <v>29</v>
      </c>
      <c r="F12" s="46">
        <f>F10/(C14*C16)</f>
        <v>20</v>
      </c>
    </row>
    <row r="13" spans="2:10" x14ac:dyDescent="0.25">
      <c r="B13" s="10"/>
      <c r="C13" s="35"/>
      <c r="E13" s="1"/>
      <c r="F13" s="5"/>
    </row>
    <row r="14" spans="2:10" ht="13" x14ac:dyDescent="0.3">
      <c r="B14" s="10" t="s">
        <v>30</v>
      </c>
      <c r="C14" s="34">
        <f>'Durée du terrain'!C10</f>
        <v>3</v>
      </c>
      <c r="E14" s="166" t="s">
        <v>31</v>
      </c>
      <c r="F14" s="5"/>
    </row>
    <row r="15" spans="2:10" ht="13" x14ac:dyDescent="0.3">
      <c r="B15" s="14"/>
      <c r="C15" s="36"/>
      <c r="E15" s="12" t="s">
        <v>32</v>
      </c>
      <c r="F15" s="17">
        <f>F12*1</f>
        <v>20</v>
      </c>
    </row>
    <row r="16" spans="2:10" ht="13" x14ac:dyDescent="0.3">
      <c r="B16" s="10" t="s">
        <v>33</v>
      </c>
      <c r="C16" s="34">
        <f>'Durée du terrain'!C14</f>
        <v>4</v>
      </c>
      <c r="E16" s="168" t="s">
        <v>34</v>
      </c>
      <c r="F16" s="17">
        <f>F12*C16</f>
        <v>80</v>
      </c>
      <c r="G16" s="86"/>
      <c r="J16" s="11"/>
    </row>
    <row r="17" spans="2:8" ht="13" thickBot="1" x14ac:dyDescent="0.3">
      <c r="B17" s="2"/>
      <c r="C17" s="37"/>
      <c r="E17" s="12" t="s">
        <v>35</v>
      </c>
      <c r="F17" s="17">
        <f>F12*1</f>
        <v>20</v>
      </c>
      <c r="H17" s="11"/>
    </row>
    <row r="18" spans="2:8" ht="13.5" customHeight="1" thickBot="1" x14ac:dyDescent="0.35">
      <c r="E18" s="13" t="s">
        <v>36</v>
      </c>
      <c r="F18" s="38">
        <f>SUM(F15:F17)</f>
        <v>120</v>
      </c>
    </row>
    <row r="19" spans="2:8" ht="13.5" thickBot="1" x14ac:dyDescent="0.35">
      <c r="B19" s="186" t="s">
        <v>37</v>
      </c>
      <c r="C19" s="187"/>
      <c r="E19" s="65" t="s">
        <v>38</v>
      </c>
      <c r="F19" s="39">
        <f>+F18*1.1</f>
        <v>132</v>
      </c>
    </row>
    <row r="20" spans="2:8" ht="13" thickBot="1" x14ac:dyDescent="0.3">
      <c r="F20"/>
    </row>
    <row r="21" spans="2:8" ht="13" thickBot="1" x14ac:dyDescent="0.3">
      <c r="B21" s="32" t="s">
        <v>4</v>
      </c>
      <c r="C21" s="18" t="s">
        <v>5</v>
      </c>
      <c r="E21" s="208" t="s">
        <v>39</v>
      </c>
      <c r="F21" s="209"/>
    </row>
    <row r="22" spans="2:8" ht="13" thickBot="1" x14ac:dyDescent="0.3">
      <c r="B22" s="28"/>
      <c r="C22" s="5"/>
    </row>
    <row r="23" spans="2:8" ht="13.5" thickBot="1" x14ac:dyDescent="0.35">
      <c r="B23" s="16" t="s">
        <v>40</v>
      </c>
      <c r="C23" s="29"/>
      <c r="D23"/>
      <c r="E23" s="3" t="s">
        <v>6</v>
      </c>
      <c r="F23" s="163" t="s">
        <v>5</v>
      </c>
    </row>
    <row r="24" spans="2:8" ht="14.5" x14ac:dyDescent="0.25">
      <c r="B24" s="31" t="s">
        <v>41</v>
      </c>
      <c r="C24" s="27">
        <v>1</v>
      </c>
      <c r="D24"/>
      <c r="E24" s="12" t="s">
        <v>32</v>
      </c>
      <c r="F24" s="17">
        <f>F15</f>
        <v>20</v>
      </c>
    </row>
    <row r="25" spans="2:8" x14ac:dyDescent="0.25">
      <c r="B25" s="31"/>
      <c r="C25" s="5"/>
      <c r="D25"/>
      <c r="E25" s="168" t="s">
        <v>34</v>
      </c>
      <c r="F25" s="17">
        <f>F16</f>
        <v>80</v>
      </c>
    </row>
    <row r="26" spans="2:8" ht="15" thickBot="1" x14ac:dyDescent="0.3">
      <c r="B26" s="31" t="s">
        <v>42</v>
      </c>
      <c r="C26" s="27">
        <v>6</v>
      </c>
      <c r="D26"/>
      <c r="E26" s="12" t="s">
        <v>35</v>
      </c>
      <c r="F26" s="17">
        <f>F17</f>
        <v>20</v>
      </c>
    </row>
    <row r="27" spans="2:8" ht="13.5" thickBot="1" x14ac:dyDescent="0.3">
      <c r="B27" s="31"/>
      <c r="C27" s="5"/>
      <c r="D27"/>
      <c r="E27" s="65" t="s">
        <v>38</v>
      </c>
      <c r="F27" s="40">
        <f>F18/100*10</f>
        <v>12</v>
      </c>
    </row>
    <row r="28" spans="2:8" ht="13" thickBot="1" x14ac:dyDescent="0.3">
      <c r="B28" s="30"/>
      <c r="C28" s="6"/>
      <c r="D28"/>
      <c r="E28" s="12" t="s">
        <v>43</v>
      </c>
      <c r="F28" s="40">
        <f>C24</f>
        <v>1</v>
      </c>
    </row>
    <row r="29" spans="2:8" ht="13" thickBot="1" x14ac:dyDescent="0.3">
      <c r="D29"/>
      <c r="E29" s="12" t="s">
        <v>44</v>
      </c>
      <c r="F29" s="40">
        <f>C26</f>
        <v>6</v>
      </c>
    </row>
    <row r="30" spans="2:8" ht="15.5" thickBot="1" x14ac:dyDescent="0.35">
      <c r="B30" s="204" t="s">
        <v>45</v>
      </c>
      <c r="C30" s="205"/>
      <c r="D30"/>
      <c r="E30" s="20" t="s">
        <v>46</v>
      </c>
      <c r="F30" s="41">
        <f>SUM(F24:F29)</f>
        <v>139</v>
      </c>
    </row>
    <row r="31" spans="2:8" ht="12.75" customHeight="1" x14ac:dyDescent="0.25">
      <c r="B31" s="200"/>
      <c r="C31" s="201"/>
      <c r="D31"/>
    </row>
    <row r="32" spans="2:8" ht="12.75" customHeight="1" x14ac:dyDescent="0.25">
      <c r="B32" s="200"/>
      <c r="C32" s="201"/>
      <c r="D32"/>
      <c r="E32" s="204" t="s">
        <v>47</v>
      </c>
      <c r="F32" s="205"/>
    </row>
    <row r="33" spans="2:6" x14ac:dyDescent="0.25">
      <c r="B33" s="200"/>
      <c r="C33" s="201"/>
      <c r="D33"/>
      <c r="E33" s="200"/>
      <c r="F33" s="201"/>
    </row>
    <row r="34" spans="2:6" ht="14.25" customHeight="1" x14ac:dyDescent="0.25">
      <c r="B34" s="200"/>
      <c r="C34" s="201"/>
      <c r="D34"/>
      <c r="E34" s="200"/>
      <c r="F34" s="201"/>
    </row>
    <row r="35" spans="2:6" ht="14.25" customHeight="1" x14ac:dyDescent="0.25">
      <c r="B35" s="200" t="s">
        <v>183</v>
      </c>
      <c r="C35" s="201"/>
      <c r="D35"/>
      <c r="E35" s="202"/>
      <c r="F35" s="203"/>
    </row>
    <row r="36" spans="2:6" ht="26.25" customHeight="1" x14ac:dyDescent="0.25">
      <c r="B36" s="200"/>
      <c r="C36" s="201"/>
      <c r="D36"/>
      <c r="F36"/>
    </row>
    <row r="37" spans="2:6" ht="12.75" customHeight="1" x14ac:dyDescent="0.25">
      <c r="B37" s="200" t="s">
        <v>48</v>
      </c>
      <c r="C37" s="201"/>
      <c r="D37"/>
      <c r="F37"/>
    </row>
    <row r="38" spans="2:6" x14ac:dyDescent="0.25">
      <c r="B38" s="200"/>
      <c r="C38" s="201"/>
      <c r="D38"/>
      <c r="F38"/>
    </row>
    <row r="39" spans="2:6" x14ac:dyDescent="0.25">
      <c r="B39" s="200"/>
      <c r="C39" s="201"/>
      <c r="D39"/>
      <c r="F39"/>
    </row>
    <row r="40" spans="2:6" x14ac:dyDescent="0.25">
      <c r="B40" s="202"/>
      <c r="C40" s="203"/>
      <c r="F40"/>
    </row>
    <row r="41" spans="2:6" ht="12.75" customHeight="1" x14ac:dyDescent="0.25">
      <c r="F41"/>
    </row>
    <row r="42" spans="2:6" x14ac:dyDescent="0.25">
      <c r="F42"/>
    </row>
    <row r="43" spans="2:6" x14ac:dyDescent="0.25">
      <c r="F43"/>
    </row>
    <row r="44" spans="2:6" x14ac:dyDescent="0.25">
      <c r="F44"/>
    </row>
    <row r="45" spans="2:6" x14ac:dyDescent="0.25">
      <c r="F45"/>
    </row>
    <row r="46" spans="2:6" x14ac:dyDescent="0.25">
      <c r="F46"/>
    </row>
    <row r="47" spans="2:6" x14ac:dyDescent="0.25">
      <c r="F47"/>
    </row>
    <row r="48" spans="2:6" x14ac:dyDescent="0.25">
      <c r="F48"/>
    </row>
  </sheetData>
  <mergeCells count="10">
    <mergeCell ref="B37:C40"/>
    <mergeCell ref="E32:F35"/>
    <mergeCell ref="B1:F1"/>
    <mergeCell ref="B2:F2"/>
    <mergeCell ref="B4:C4"/>
    <mergeCell ref="E4:F4"/>
    <mergeCell ref="B19:C19"/>
    <mergeCell ref="E21:F21"/>
    <mergeCell ref="B30:C34"/>
    <mergeCell ref="B35:C36"/>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8A4F-3F24-4C28-97D9-36E3539588EB}">
  <dimension ref="B1:F32"/>
  <sheetViews>
    <sheetView zoomScale="90" zoomScaleNormal="90" workbookViewId="0">
      <selection activeCell="E29" sqref="E29"/>
    </sheetView>
  </sheetViews>
  <sheetFormatPr defaultColWidth="8.6328125" defaultRowHeight="12.5" x14ac:dyDescent="0.25"/>
  <cols>
    <col min="1" max="1" width="2.1796875" customWidth="1"/>
    <col min="2" max="2" width="47.6328125" customWidth="1"/>
    <col min="3" max="3" width="12.6328125" style="4" customWidth="1"/>
    <col min="4" max="4" width="3.36328125" style="4" customWidth="1"/>
    <col min="5" max="5" width="50.453125" customWidth="1"/>
    <col min="6" max="6" width="14.6328125" style="4" customWidth="1"/>
  </cols>
  <sheetData>
    <row r="1" spans="2:6" ht="19.5" customHeight="1" x14ac:dyDescent="0.35">
      <c r="B1" s="184" t="s">
        <v>49</v>
      </c>
      <c r="C1" s="184"/>
      <c r="D1" s="184"/>
      <c r="E1" s="184"/>
      <c r="F1" s="184"/>
    </row>
    <row r="2" spans="2:6" ht="24.75" customHeight="1" x14ac:dyDescent="0.25">
      <c r="B2" s="216" t="s">
        <v>184</v>
      </c>
      <c r="C2" s="216"/>
      <c r="D2" s="216"/>
      <c r="E2" s="216"/>
      <c r="F2" s="216"/>
    </row>
    <row r="3" spans="2:6" ht="13" thickBot="1" x14ac:dyDescent="0.3"/>
    <row r="4" spans="2:6" ht="13" thickBot="1" x14ac:dyDescent="0.3">
      <c r="B4" s="217" t="s">
        <v>50</v>
      </c>
      <c r="C4" s="217"/>
      <c r="D4" s="48"/>
      <c r="E4" s="48"/>
      <c r="F4" s="48"/>
    </row>
    <row r="5" spans="2:6" x14ac:dyDescent="0.25">
      <c r="B5" s="19"/>
      <c r="C5" s="1"/>
    </row>
    <row r="6" spans="2:6" ht="13" x14ac:dyDescent="0.3">
      <c r="B6" s="19" t="s">
        <v>51</v>
      </c>
      <c r="C6" s="128">
        <f>'Durée du terrain'!C8/'Durée du terrain'!C16</f>
        <v>600</v>
      </c>
    </row>
    <row r="7" spans="2:6" ht="13" thickBot="1" x14ac:dyDescent="0.3">
      <c r="B7" s="26"/>
      <c r="C7" s="8"/>
    </row>
    <row r="8" spans="2:6" ht="13" thickBot="1" x14ac:dyDescent="0.3"/>
    <row r="9" spans="2:6" ht="13.5" thickBot="1" x14ac:dyDescent="0.35">
      <c r="B9" s="186" t="s">
        <v>52</v>
      </c>
      <c r="C9" s="187"/>
      <c r="E9" s="208" t="s">
        <v>53</v>
      </c>
      <c r="F9" s="209"/>
    </row>
    <row r="10" spans="2:6" ht="13" thickBot="1" x14ac:dyDescent="0.3"/>
    <row r="11" spans="2:6" ht="13" thickBot="1" x14ac:dyDescent="0.3">
      <c r="B11" s="3" t="s">
        <v>4</v>
      </c>
      <c r="C11" s="18" t="s">
        <v>5</v>
      </c>
      <c r="E11" s="3" t="s">
        <v>6</v>
      </c>
      <c r="F11" s="163" t="s">
        <v>5</v>
      </c>
    </row>
    <row r="12" spans="2:6" x14ac:dyDescent="0.25">
      <c r="B12" s="1"/>
      <c r="C12" s="5"/>
      <c r="E12" s="1"/>
      <c r="F12" s="5"/>
    </row>
    <row r="13" spans="2:6" ht="28.5" customHeight="1" x14ac:dyDescent="0.25">
      <c r="B13" s="50" t="s">
        <v>54</v>
      </c>
      <c r="C13" s="95">
        <v>1</v>
      </c>
      <c r="D13" s="51"/>
      <c r="E13" s="47" t="s">
        <v>55</v>
      </c>
      <c r="F13" s="49">
        <f>C6/C13*1.2</f>
        <v>720</v>
      </c>
    </row>
    <row r="14" spans="2:6" x14ac:dyDescent="0.25">
      <c r="B14" s="52"/>
      <c r="C14" s="53"/>
      <c r="D14" s="51"/>
      <c r="E14" s="52"/>
      <c r="F14" s="54"/>
    </row>
    <row r="15" spans="2:6" ht="14.5" x14ac:dyDescent="0.25">
      <c r="B15" s="47" t="s">
        <v>56</v>
      </c>
      <c r="C15" s="45">
        <v>15</v>
      </c>
      <c r="D15" s="51"/>
      <c r="E15" s="47" t="s">
        <v>57</v>
      </c>
      <c r="F15" s="49">
        <f>F13/C15</f>
        <v>48</v>
      </c>
    </row>
    <row r="16" spans="2:6" x14ac:dyDescent="0.25">
      <c r="B16" s="47"/>
      <c r="C16" s="55"/>
      <c r="D16" s="51"/>
      <c r="E16" s="47"/>
      <c r="F16" s="56"/>
    </row>
    <row r="17" spans="2:6" ht="13" x14ac:dyDescent="0.3">
      <c r="B17" s="47"/>
      <c r="C17" s="55"/>
      <c r="D17" s="51"/>
      <c r="E17" s="16" t="s">
        <v>15</v>
      </c>
      <c r="F17" s="49">
        <f>F15/6</f>
        <v>8</v>
      </c>
    </row>
    <row r="18" spans="2:6" ht="15" x14ac:dyDescent="0.3">
      <c r="B18" s="52"/>
      <c r="C18" s="55"/>
      <c r="D18" s="51"/>
      <c r="E18" s="14" t="s">
        <v>58</v>
      </c>
      <c r="F18" s="5"/>
    </row>
    <row r="19" spans="2:6" x14ac:dyDescent="0.25">
      <c r="B19" s="47" t="s">
        <v>59</v>
      </c>
      <c r="C19" s="96">
        <v>44593</v>
      </c>
      <c r="D19" s="51"/>
      <c r="E19" s="47" t="s">
        <v>60</v>
      </c>
      <c r="F19" s="97">
        <f>C19+(F15/6*7)</f>
        <v>44649</v>
      </c>
    </row>
    <row r="20" spans="2:6" ht="13" thickBot="1" x14ac:dyDescent="0.3">
      <c r="B20" s="2"/>
      <c r="C20" s="8"/>
      <c r="E20" s="2"/>
      <c r="F20" s="6"/>
    </row>
    <row r="21" spans="2:6" x14ac:dyDescent="0.25">
      <c r="C21" s="9"/>
    </row>
    <row r="22" spans="2:6" ht="54.5" customHeight="1" x14ac:dyDescent="0.25">
      <c r="B22" s="248" t="s">
        <v>203</v>
      </c>
      <c r="C22" s="249"/>
      <c r="D22" s="249"/>
      <c r="E22" s="249"/>
      <c r="F22" s="250"/>
    </row>
    <row r="23" spans="2:6" ht="25.5" customHeight="1" x14ac:dyDescent="0.25">
      <c r="B23" s="210" t="s">
        <v>61</v>
      </c>
      <c r="C23" s="211"/>
      <c r="D23" s="211"/>
      <c r="E23" s="211"/>
      <c r="F23" s="212"/>
    </row>
    <row r="24" spans="2:6" ht="35.25" customHeight="1" x14ac:dyDescent="0.25">
      <c r="B24" s="210" t="s">
        <v>185</v>
      </c>
      <c r="C24" s="211"/>
      <c r="D24" s="211"/>
      <c r="E24" s="211"/>
      <c r="F24" s="212"/>
    </row>
    <row r="25" spans="2:6" x14ac:dyDescent="0.25">
      <c r="B25" s="213" t="s">
        <v>62</v>
      </c>
      <c r="C25" s="214"/>
      <c r="D25" s="214"/>
      <c r="E25" s="214"/>
      <c r="F25" s="215"/>
    </row>
    <row r="26" spans="2:6" x14ac:dyDescent="0.25">
      <c r="C26"/>
      <c r="D26"/>
      <c r="F26"/>
    </row>
    <row r="27" spans="2:6" x14ac:dyDescent="0.25">
      <c r="C27"/>
      <c r="D27"/>
      <c r="F27"/>
    </row>
    <row r="28" spans="2:6" x14ac:dyDescent="0.25">
      <c r="C28"/>
      <c r="D28"/>
      <c r="F28"/>
    </row>
    <row r="29" spans="2:6" x14ac:dyDescent="0.25">
      <c r="C29"/>
      <c r="D29"/>
      <c r="F29"/>
    </row>
    <row r="30" spans="2:6" x14ac:dyDescent="0.25">
      <c r="C30"/>
      <c r="D30"/>
      <c r="F30"/>
    </row>
    <row r="31" spans="2:6" x14ac:dyDescent="0.25">
      <c r="C31"/>
      <c r="D31"/>
      <c r="F31"/>
    </row>
    <row r="32" spans="2:6" x14ac:dyDescent="0.25">
      <c r="C32"/>
      <c r="D32"/>
      <c r="E32" s="190"/>
      <c r="F32" s="190"/>
    </row>
  </sheetData>
  <sheetProtection formatCells="0" formatColumns="0" formatRows="0" insertColumns="0" insertRows="0" insertHyperlinks="0" selectLockedCells="1" sort="0" autoFilter="0" pivotTables="0"/>
  <mergeCells count="10">
    <mergeCell ref="B23:F23"/>
    <mergeCell ref="B24:F24"/>
    <mergeCell ref="B25:F25"/>
    <mergeCell ref="E32:F32"/>
    <mergeCell ref="B1:F1"/>
    <mergeCell ref="B2:F2"/>
    <mergeCell ref="B4:C4"/>
    <mergeCell ref="B9:C9"/>
    <mergeCell ref="E9:F9"/>
    <mergeCell ref="B22:F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36"/>
  <sheetViews>
    <sheetView zoomScale="80" zoomScaleNormal="80" workbookViewId="0">
      <selection activeCell="B27" sqref="B27:C28"/>
    </sheetView>
  </sheetViews>
  <sheetFormatPr defaultColWidth="8.6328125" defaultRowHeight="12.5" x14ac:dyDescent="0.25"/>
  <cols>
    <col min="1" max="1" width="2.1796875" customWidth="1"/>
    <col min="2" max="2" width="54.6328125" customWidth="1"/>
    <col min="3" max="3" width="14.1796875" style="4" customWidth="1"/>
    <col min="4" max="4" width="3.6328125" style="4" customWidth="1"/>
    <col min="5" max="5" width="57.453125" customWidth="1"/>
    <col min="6" max="6" width="13.1796875" style="4" customWidth="1"/>
  </cols>
  <sheetData>
    <row r="1" spans="2:10" ht="19.5" customHeight="1" x14ac:dyDescent="0.35">
      <c r="B1" s="184" t="s">
        <v>63</v>
      </c>
      <c r="C1" s="184"/>
      <c r="D1" s="184"/>
      <c r="E1" s="184"/>
      <c r="F1" s="184"/>
    </row>
    <row r="2" spans="2:10" ht="24" customHeight="1" x14ac:dyDescent="0.25">
      <c r="B2" s="185" t="s">
        <v>64</v>
      </c>
      <c r="C2" s="185"/>
      <c r="D2" s="185"/>
      <c r="E2" s="185"/>
      <c r="F2" s="185"/>
    </row>
    <row r="3" spans="2:10" ht="13" thickBot="1" x14ac:dyDescent="0.3"/>
    <row r="4" spans="2:10" ht="13" thickBot="1" x14ac:dyDescent="0.3">
      <c r="B4" s="206" t="s">
        <v>22</v>
      </c>
      <c r="C4" s="207"/>
      <c r="E4" s="208" t="s">
        <v>65</v>
      </c>
      <c r="F4" s="209"/>
    </row>
    <row r="5" spans="2:10" ht="13" thickBot="1" x14ac:dyDescent="0.3"/>
    <row r="6" spans="2:10" ht="13" thickBot="1" x14ac:dyDescent="0.3">
      <c r="B6" s="3" t="s">
        <v>4</v>
      </c>
      <c r="C6" s="162" t="s">
        <v>5</v>
      </c>
      <c r="E6" s="3" t="s">
        <v>6</v>
      </c>
      <c r="F6" s="163" t="s">
        <v>5</v>
      </c>
    </row>
    <row r="7" spans="2:10" x14ac:dyDescent="0.25">
      <c r="B7" s="42"/>
      <c r="C7" s="67"/>
      <c r="E7" s="69"/>
      <c r="F7" s="43"/>
    </row>
    <row r="8" spans="2:10" ht="13" x14ac:dyDescent="0.25">
      <c r="B8" s="47" t="s">
        <v>51</v>
      </c>
      <c r="C8" s="57">
        <f>'Durée dénombrement'!C6</f>
        <v>600</v>
      </c>
      <c r="D8" s="51"/>
      <c r="E8" s="70" t="s">
        <v>31</v>
      </c>
      <c r="F8" s="54"/>
    </row>
    <row r="9" spans="2:10" ht="14.5" x14ac:dyDescent="0.25">
      <c r="B9" s="52"/>
      <c r="C9" s="58"/>
      <c r="D9" s="51"/>
      <c r="E9" s="62" t="s">
        <v>66</v>
      </c>
      <c r="F9" s="46">
        <f>ROUNDUP(C10/3,0)</f>
        <v>5</v>
      </c>
    </row>
    <row r="10" spans="2:10" ht="13" x14ac:dyDescent="0.25">
      <c r="B10" s="47" t="s">
        <v>67</v>
      </c>
      <c r="C10" s="60">
        <f>'Durée dénombrement'!C15</f>
        <v>15</v>
      </c>
      <c r="D10" s="51"/>
      <c r="E10" s="62" t="s">
        <v>186</v>
      </c>
      <c r="F10" s="46">
        <f>C10</f>
        <v>15</v>
      </c>
    </row>
    <row r="11" spans="2:10" x14ac:dyDescent="0.25">
      <c r="B11" s="47"/>
      <c r="C11" s="61"/>
      <c r="D11" s="51"/>
      <c r="E11" s="62" t="s">
        <v>68</v>
      </c>
      <c r="F11" s="46">
        <f>C10</f>
        <v>15</v>
      </c>
    </row>
    <row r="12" spans="2:10" ht="13.5" thickBot="1" x14ac:dyDescent="0.3">
      <c r="B12" s="50" t="s">
        <v>69</v>
      </c>
      <c r="C12" s="44">
        <f>'Durée dénombrement'!F17</f>
        <v>8</v>
      </c>
      <c r="D12" s="51"/>
      <c r="E12" s="71" t="s">
        <v>36</v>
      </c>
      <c r="F12" s="64">
        <f>SUM(F9:F11)</f>
        <v>35</v>
      </c>
    </row>
    <row r="13" spans="2:10" ht="15" thickBot="1" x14ac:dyDescent="0.3">
      <c r="B13" s="68" t="s">
        <v>70</v>
      </c>
      <c r="C13" s="63"/>
      <c r="D13" s="51"/>
      <c r="E13" s="65" t="s">
        <v>71</v>
      </c>
      <c r="F13" s="66">
        <f>ROUNDUP(F12*1.1,0)</f>
        <v>39</v>
      </c>
    </row>
    <row r="14" spans="2:10" ht="13" thickBot="1" x14ac:dyDescent="0.3">
      <c r="B14" s="59"/>
      <c r="C14" s="51"/>
      <c r="D14" s="51"/>
    </row>
    <row r="15" spans="2:10" ht="13.5" thickBot="1" x14ac:dyDescent="0.35">
      <c r="B15" s="186" t="s">
        <v>37</v>
      </c>
      <c r="C15" s="187"/>
      <c r="D15" s="51"/>
      <c r="E15" s="160" t="s">
        <v>72</v>
      </c>
      <c r="F15" s="161"/>
    </row>
    <row r="16" spans="2:10" ht="13" thickBot="1" x14ac:dyDescent="0.3">
      <c r="D16" s="51"/>
      <c r="J16" s="11"/>
    </row>
    <row r="17" spans="2:6" ht="13" thickBot="1" x14ac:dyDescent="0.3">
      <c r="B17" s="32" t="s">
        <v>4</v>
      </c>
      <c r="C17" s="18" t="s">
        <v>5</v>
      </c>
      <c r="D17" s="51"/>
      <c r="E17" s="3" t="s">
        <v>6</v>
      </c>
      <c r="F17" s="163" t="s">
        <v>5</v>
      </c>
    </row>
    <row r="18" spans="2:6" ht="13.5" customHeight="1" x14ac:dyDescent="0.25">
      <c r="B18" s="42"/>
      <c r="C18" s="67"/>
      <c r="D18" s="51"/>
      <c r="E18" s="1"/>
      <c r="F18" s="5"/>
    </row>
    <row r="19" spans="2:6" ht="13" x14ac:dyDescent="0.3">
      <c r="B19" s="16" t="s">
        <v>40</v>
      </c>
      <c r="C19" s="29"/>
      <c r="E19" s="12" t="s">
        <v>32</v>
      </c>
      <c r="F19" s="17">
        <f>F9</f>
        <v>5</v>
      </c>
    </row>
    <row r="20" spans="2:6" ht="14.5" x14ac:dyDescent="0.25">
      <c r="B20" s="19" t="s">
        <v>73</v>
      </c>
      <c r="C20" s="98">
        <v>1</v>
      </c>
      <c r="E20" s="62" t="s">
        <v>186</v>
      </c>
      <c r="F20" s="17">
        <f>F10</f>
        <v>15</v>
      </c>
    </row>
    <row r="21" spans="2:6" x14ac:dyDescent="0.25">
      <c r="B21" s="19"/>
      <c r="C21" s="35"/>
      <c r="E21" s="62" t="s">
        <v>68</v>
      </c>
      <c r="F21" s="17">
        <f>F11</f>
        <v>15</v>
      </c>
    </row>
    <row r="22" spans="2:6" ht="15" x14ac:dyDescent="0.3">
      <c r="B22" s="19" t="s">
        <v>74</v>
      </c>
      <c r="C22" s="98">
        <v>2</v>
      </c>
      <c r="E22" s="21" t="s">
        <v>75</v>
      </c>
      <c r="F22" s="17">
        <f>ROUNDUP(F12*0.1,0)</f>
        <v>4</v>
      </c>
    </row>
    <row r="23" spans="2:6" ht="13" thickBot="1" x14ac:dyDescent="0.3">
      <c r="B23" s="2"/>
      <c r="C23" s="99"/>
      <c r="D23"/>
      <c r="E23" s="12" t="s">
        <v>200</v>
      </c>
      <c r="F23" s="40">
        <f>C20</f>
        <v>1</v>
      </c>
    </row>
    <row r="24" spans="2:6" ht="13.5" customHeight="1" thickBot="1" x14ac:dyDescent="0.3">
      <c r="D24"/>
      <c r="E24" s="12" t="s">
        <v>76</v>
      </c>
      <c r="F24" s="40">
        <f>C22</f>
        <v>2</v>
      </c>
    </row>
    <row r="25" spans="2:6" ht="15" customHeight="1" thickBot="1" x14ac:dyDescent="0.35">
      <c r="B25" s="248" t="s">
        <v>201</v>
      </c>
      <c r="C25" s="250"/>
      <c r="D25"/>
      <c r="E25" s="20" t="s">
        <v>77</v>
      </c>
      <c r="F25" s="41">
        <f>SUM(F19:F24)</f>
        <v>42</v>
      </c>
    </row>
    <row r="26" spans="2:6" ht="12.75" customHeight="1" x14ac:dyDescent="0.25">
      <c r="B26" s="251"/>
      <c r="C26" s="252"/>
      <c r="D26"/>
    </row>
    <row r="27" spans="2:6" ht="12.75" customHeight="1" x14ac:dyDescent="0.25">
      <c r="B27" s="248" t="s">
        <v>202</v>
      </c>
      <c r="C27" s="250"/>
      <c r="D27"/>
      <c r="E27" s="204" t="s">
        <v>187</v>
      </c>
      <c r="F27" s="205"/>
    </row>
    <row r="28" spans="2:6" ht="15" customHeight="1" x14ac:dyDescent="0.25">
      <c r="B28" s="251"/>
      <c r="C28" s="252"/>
      <c r="D28"/>
      <c r="E28" s="200" t="s">
        <v>78</v>
      </c>
      <c r="F28" s="201"/>
    </row>
    <row r="29" spans="2:6" ht="12.75" customHeight="1" x14ac:dyDescent="0.25">
      <c r="D29"/>
      <c r="E29" s="200"/>
      <c r="F29" s="201"/>
    </row>
    <row r="30" spans="2:6" ht="12.75" customHeight="1" x14ac:dyDescent="0.25">
      <c r="D30"/>
      <c r="E30" s="200" t="s">
        <v>188</v>
      </c>
      <c r="F30" s="201"/>
    </row>
    <row r="31" spans="2:6" x14ac:dyDescent="0.25">
      <c r="D31"/>
      <c r="E31" s="202"/>
      <c r="F31" s="203"/>
    </row>
    <row r="32" spans="2:6" x14ac:dyDescent="0.25">
      <c r="D32"/>
    </row>
    <row r="33" ht="12.75" customHeight="1" x14ac:dyDescent="0.25"/>
    <row r="36" ht="12.75" customHeight="1" x14ac:dyDescent="0.25"/>
  </sheetData>
  <mergeCells count="10">
    <mergeCell ref="B27:C28"/>
    <mergeCell ref="E27:F27"/>
    <mergeCell ref="E28:F29"/>
    <mergeCell ref="E30:F31"/>
    <mergeCell ref="B25:C26"/>
    <mergeCell ref="B1:F1"/>
    <mergeCell ref="B2:F2"/>
    <mergeCell ref="B4:C4"/>
    <mergeCell ref="E4:F4"/>
    <mergeCell ref="B15:C15"/>
  </mergeCells>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5"/>
  <sheetViews>
    <sheetView topLeftCell="A29" zoomScale="80" zoomScaleNormal="80" workbookViewId="0">
      <selection activeCell="B33" sqref="B33"/>
    </sheetView>
  </sheetViews>
  <sheetFormatPr defaultColWidth="8.6328125" defaultRowHeight="12.5" x14ac:dyDescent="0.25"/>
  <cols>
    <col min="1" max="1" width="2.1796875" customWidth="1"/>
    <col min="2" max="2" width="54.453125" customWidth="1"/>
    <col min="3" max="3" width="14.453125" style="4" customWidth="1"/>
    <col min="4" max="4" width="3.36328125" customWidth="1"/>
    <col min="5" max="5" width="54.453125" customWidth="1"/>
    <col min="6" max="6" width="14.453125" customWidth="1"/>
  </cols>
  <sheetData>
    <row r="1" spans="2:6" ht="19.5" customHeight="1" x14ac:dyDescent="0.35">
      <c r="B1" s="184" t="s">
        <v>79</v>
      </c>
      <c r="C1" s="184"/>
    </row>
    <row r="2" spans="2:6" ht="12.75" customHeight="1" x14ac:dyDescent="0.25">
      <c r="B2" s="218" t="s">
        <v>80</v>
      </c>
      <c r="C2" s="218"/>
    </row>
    <row r="3" spans="2:6" ht="12.75" customHeight="1" thickBot="1" x14ac:dyDescent="0.3">
      <c r="B3" s="113"/>
      <c r="C3" s="113"/>
    </row>
    <row r="4" spans="2:6" ht="13.5" thickBot="1" x14ac:dyDescent="0.35">
      <c r="B4" s="208" t="s">
        <v>81</v>
      </c>
      <c r="C4" s="209"/>
      <c r="E4" s="208" t="s">
        <v>82</v>
      </c>
      <c r="F4" s="209"/>
    </row>
    <row r="5" spans="2:6" ht="13" thickBot="1" x14ac:dyDescent="0.3">
      <c r="F5" s="4"/>
    </row>
    <row r="6" spans="2:6" ht="13" thickBot="1" x14ac:dyDescent="0.3">
      <c r="B6" s="165" t="s">
        <v>4</v>
      </c>
      <c r="C6" s="18" t="s">
        <v>5</v>
      </c>
      <c r="E6" s="165" t="s">
        <v>4</v>
      </c>
      <c r="F6" s="18" t="s">
        <v>5</v>
      </c>
    </row>
    <row r="7" spans="2:6" x14ac:dyDescent="0.25">
      <c r="B7" s="1"/>
      <c r="C7" s="5"/>
      <c r="E7" s="1"/>
      <c r="F7" s="5"/>
    </row>
    <row r="8" spans="2:6" ht="15" x14ac:dyDescent="0.3">
      <c r="B8" s="10" t="s">
        <v>83</v>
      </c>
      <c r="C8" s="132">
        <f>2*'Personnel de terrain'!F17</f>
        <v>40</v>
      </c>
      <c r="E8" s="139" t="s">
        <v>189</v>
      </c>
      <c r="F8" s="135">
        <f>'Fournitures facultatives'!C8</f>
        <v>17</v>
      </c>
    </row>
    <row r="9" spans="2:6" ht="13" x14ac:dyDescent="0.3">
      <c r="B9" s="1"/>
      <c r="C9" s="14"/>
      <c r="E9" s="10"/>
      <c r="F9" s="134"/>
    </row>
    <row r="10" spans="2:6" ht="15" x14ac:dyDescent="0.3">
      <c r="B10" s="15" t="s">
        <v>84</v>
      </c>
      <c r="C10" s="133">
        <f>2*'Personnel de terrain'!F17</f>
        <v>40</v>
      </c>
      <c r="E10" s="158" t="s">
        <v>190</v>
      </c>
      <c r="F10" s="135">
        <f>'Fournitures facultatives'!F8</f>
        <v>17</v>
      </c>
    </row>
    <row r="11" spans="2:6" ht="13.5" thickBot="1" x14ac:dyDescent="0.35">
      <c r="B11" s="1"/>
      <c r="C11" s="134"/>
      <c r="E11" s="2"/>
      <c r="F11" s="8"/>
    </row>
    <row r="12" spans="2:6" ht="14.25" customHeight="1" x14ac:dyDescent="0.3">
      <c r="B12" s="139" t="s">
        <v>191</v>
      </c>
      <c r="C12" s="135">
        <f>'Personnel de terrain'!F24+'Personnel de terrain'!F25+'Personnel de terrain'!F12+5</f>
        <v>125</v>
      </c>
    </row>
    <row r="13" spans="2:6" ht="15" customHeight="1" x14ac:dyDescent="0.3">
      <c r="B13" s="139"/>
      <c r="C13" s="134"/>
      <c r="E13" s="204" t="s">
        <v>85</v>
      </c>
      <c r="F13" s="205"/>
    </row>
    <row r="14" spans="2:6" ht="20.25" customHeight="1" x14ac:dyDescent="0.3">
      <c r="B14" s="139" t="s">
        <v>192</v>
      </c>
      <c r="C14" s="135">
        <f>ROUNDUP(1.1*'Durée du terrain'!C12,0)</f>
        <v>22</v>
      </c>
      <c r="E14" s="202"/>
      <c r="F14" s="203"/>
    </row>
    <row r="15" spans="2:6" ht="13" thickBot="1" x14ac:dyDescent="0.3">
      <c r="B15" s="2"/>
      <c r="C15" s="8"/>
    </row>
    <row r="16" spans="2:6" x14ac:dyDescent="0.25">
      <c r="D16" s="138"/>
    </row>
    <row r="17" spans="2:3" x14ac:dyDescent="0.25">
      <c r="B17" s="204" t="s">
        <v>86</v>
      </c>
      <c r="C17" s="205"/>
    </row>
    <row r="18" spans="2:3" x14ac:dyDescent="0.25">
      <c r="B18" s="200"/>
      <c r="C18" s="201"/>
    </row>
    <row r="19" spans="2:3" x14ac:dyDescent="0.25">
      <c r="B19" s="200"/>
      <c r="C19" s="201"/>
    </row>
    <row r="20" spans="2:3" x14ac:dyDescent="0.25">
      <c r="B20" s="200"/>
      <c r="C20" s="201"/>
    </row>
    <row r="21" spans="2:3" x14ac:dyDescent="0.25">
      <c r="B21" s="200"/>
      <c r="C21" s="201"/>
    </row>
    <row r="22" spans="2:3" x14ac:dyDescent="0.25">
      <c r="B22" s="200" t="s">
        <v>193</v>
      </c>
      <c r="C22" s="201"/>
    </row>
    <row r="23" spans="2:3" x14ac:dyDescent="0.25">
      <c r="B23" s="200"/>
      <c r="C23" s="201"/>
    </row>
    <row r="24" spans="2:3" ht="19" customHeight="1" x14ac:dyDescent="0.25">
      <c r="B24" s="200"/>
      <c r="C24" s="201"/>
    </row>
    <row r="25" spans="2:3" x14ac:dyDescent="0.25">
      <c r="B25" s="202" t="s">
        <v>194</v>
      </c>
      <c r="C25" s="203"/>
    </row>
  </sheetData>
  <mergeCells count="8">
    <mergeCell ref="B22:C24"/>
    <mergeCell ref="B25:C25"/>
    <mergeCell ref="E4:F4"/>
    <mergeCell ref="B17:C21"/>
    <mergeCell ref="E13:F14"/>
    <mergeCell ref="B1:C1"/>
    <mergeCell ref="B2:C2"/>
    <mergeCell ref="B4:C4"/>
  </mergeCells>
  <hyperlinks>
    <hyperlink ref="B14" location="'Water Quality Supplies'!A1" display="Water Quality Testing Equipment21 - See additional sheet" xr:uid="{1AB53EFD-92E7-4B56-A9D8-5BB37D970EB2}"/>
    <hyperlink ref="B12" location="'Tablet Supplies'!A1" display="Tablet Computers20 - see additional sheet" xr:uid="{472226B5-6B39-46E7-AF40-228C4206F8C6}"/>
    <hyperlink ref="E10" location="'Optional supplies'!A1" display="GIS units - See additional sheet" xr:uid="{BF7C0466-BE33-4376-A98E-6766A893216A}"/>
    <hyperlink ref="E8" location="'Optional supplies'!A1" display="Tablet Computers for listing - see additional sheet" xr:uid="{3E04C4F6-3BA3-4E7C-9065-422C3EBCED7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CD22-A985-4939-9ACA-EB8D6FD74AAB}">
  <dimension ref="B1:C26"/>
  <sheetViews>
    <sheetView zoomScale="80" zoomScaleNormal="80" workbookViewId="0">
      <selection activeCell="B23" sqref="B23:C23"/>
    </sheetView>
  </sheetViews>
  <sheetFormatPr defaultColWidth="8.6328125" defaultRowHeight="12.5" x14ac:dyDescent="0.25"/>
  <cols>
    <col min="1" max="1" width="2.1796875" customWidth="1"/>
    <col min="2" max="2" width="54.453125" customWidth="1"/>
    <col min="3" max="3" width="15.36328125" style="4" customWidth="1"/>
    <col min="4" max="4" width="8" customWidth="1"/>
  </cols>
  <sheetData>
    <row r="1" spans="2:3" ht="19.5" customHeight="1" x14ac:dyDescent="0.35">
      <c r="B1" s="169" t="s">
        <v>87</v>
      </c>
      <c r="C1" s="169"/>
    </row>
    <row r="2" spans="2:3" ht="12.75" customHeight="1" x14ac:dyDescent="0.25">
      <c r="B2" s="219" t="s">
        <v>88</v>
      </c>
      <c r="C2" s="219"/>
    </row>
    <row r="3" spans="2:3" ht="12.75" customHeight="1" thickBot="1" x14ac:dyDescent="0.3">
      <c r="B3" s="170"/>
      <c r="C3" s="170"/>
    </row>
    <row r="4" spans="2:3" ht="12.75" customHeight="1" thickBot="1" x14ac:dyDescent="0.3">
      <c r="B4" s="220" t="s">
        <v>81</v>
      </c>
      <c r="C4" s="221"/>
    </row>
    <row r="5" spans="2:3" ht="12.75" customHeight="1" thickBot="1" x14ac:dyDescent="0.3">
      <c r="B5" s="171"/>
      <c r="C5" s="172"/>
    </row>
    <row r="6" spans="2:3" ht="12.75" customHeight="1" thickBot="1" x14ac:dyDescent="0.3">
      <c r="B6" s="173" t="s">
        <v>4</v>
      </c>
      <c r="C6" s="174" t="s">
        <v>5</v>
      </c>
    </row>
    <row r="7" spans="2:3" ht="12.75" customHeight="1" x14ac:dyDescent="0.25">
      <c r="B7" s="1"/>
      <c r="C7" s="5"/>
    </row>
    <row r="8" spans="2:3" ht="12.75" customHeight="1" x14ac:dyDescent="0.3">
      <c r="B8" s="175" t="s">
        <v>90</v>
      </c>
      <c r="C8" s="76">
        <f>Équipement!C12</f>
        <v>125</v>
      </c>
    </row>
    <row r="9" spans="2:3" ht="12.75" customHeight="1" x14ac:dyDescent="0.3">
      <c r="B9" s="175"/>
      <c r="C9" s="75"/>
    </row>
    <row r="10" spans="2:3" ht="12.75" customHeight="1" x14ac:dyDescent="0.3">
      <c r="B10" s="175" t="s">
        <v>91</v>
      </c>
      <c r="C10" s="76">
        <f>Équipement!C12</f>
        <v>125</v>
      </c>
    </row>
    <row r="11" spans="2:3" ht="12.75" customHeight="1" x14ac:dyDescent="0.3">
      <c r="B11" s="175"/>
      <c r="C11" s="75"/>
    </row>
    <row r="12" spans="2:3" ht="12.75" customHeight="1" x14ac:dyDescent="0.3">
      <c r="B12" s="175" t="s">
        <v>92</v>
      </c>
      <c r="C12" s="76">
        <f>Équipement!C12</f>
        <v>125</v>
      </c>
    </row>
    <row r="13" spans="2:3" ht="12.75" customHeight="1" x14ac:dyDescent="0.3">
      <c r="B13" s="175"/>
      <c r="C13" s="75"/>
    </row>
    <row r="14" spans="2:3" ht="12.75" customHeight="1" x14ac:dyDescent="0.3">
      <c r="B14" s="175" t="s">
        <v>93</v>
      </c>
      <c r="C14" s="76">
        <f>Équipement!C12</f>
        <v>125</v>
      </c>
    </row>
    <row r="15" spans="2:3" ht="12.75" customHeight="1" x14ac:dyDescent="0.3">
      <c r="B15" s="10"/>
      <c r="C15" s="75"/>
    </row>
    <row r="16" spans="2:3" ht="12.75" customHeight="1" x14ac:dyDescent="0.3">
      <c r="B16" s="10" t="s">
        <v>94</v>
      </c>
      <c r="C16" s="135">
        <f>2*'Durée du terrain'!C12</f>
        <v>40</v>
      </c>
    </row>
    <row r="17" spans="2:3" ht="12.75" customHeight="1" x14ac:dyDescent="0.3">
      <c r="B17" s="10"/>
      <c r="C17" s="134"/>
    </row>
    <row r="18" spans="2:3" ht="12.75" customHeight="1" x14ac:dyDescent="0.3">
      <c r="B18" s="10" t="s">
        <v>95</v>
      </c>
      <c r="C18" s="135">
        <f>Équipement!C12+(2*'Durée du terrain'!C12)</f>
        <v>165</v>
      </c>
    </row>
    <row r="19" spans="2:3" ht="12.75" customHeight="1" x14ac:dyDescent="0.3">
      <c r="B19" s="10"/>
      <c r="C19" s="134"/>
    </row>
    <row r="20" spans="2:3" ht="12.75" customHeight="1" x14ac:dyDescent="0.3">
      <c r="B20" s="10" t="s">
        <v>96</v>
      </c>
      <c r="C20" s="135">
        <f>'Durée du terrain'!C12</f>
        <v>20</v>
      </c>
    </row>
    <row r="21" spans="2:3" ht="12.75" customHeight="1" thickBot="1" x14ac:dyDescent="0.3">
      <c r="B21" s="2"/>
      <c r="C21" s="8"/>
    </row>
    <row r="22" spans="2:3" ht="12.75" customHeight="1" x14ac:dyDescent="0.25">
      <c r="C22" s="9"/>
    </row>
    <row r="23" spans="2:3" ht="24" customHeight="1" x14ac:dyDescent="0.25">
      <c r="B23" s="222" t="s">
        <v>97</v>
      </c>
      <c r="C23" s="223"/>
    </row>
    <row r="24" spans="2:3" ht="22.5" customHeight="1" x14ac:dyDescent="0.25">
      <c r="B24" s="224" t="s">
        <v>98</v>
      </c>
      <c r="C24" s="225"/>
    </row>
    <row r="25" spans="2:3" ht="12.75" customHeight="1" x14ac:dyDescent="0.25">
      <c r="B25" s="226" t="s">
        <v>99</v>
      </c>
      <c r="C25" s="227"/>
    </row>
    <row r="26" spans="2:3" ht="12.75" customHeight="1" x14ac:dyDescent="0.25"/>
  </sheetData>
  <mergeCells count="5">
    <mergeCell ref="B2:C2"/>
    <mergeCell ref="B4:C4"/>
    <mergeCell ref="B23:C23"/>
    <mergeCell ref="B24:C24"/>
    <mergeCell ref="B25:C25"/>
  </mergeCells>
  <pageMargins left="0.7" right="0.7" top="0.75" bottom="0.75" header="0.3" footer="0.3"/>
  <pageSetup paperSize="9" orientation="portrait" r:id="rId1"/>
  <ignoredErrors>
    <ignoredError sqref="C14 C12 C10 C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F87F-65EF-4475-B6BF-B44F677371C5}">
  <dimension ref="B1:Y49"/>
  <sheetViews>
    <sheetView topLeftCell="D1" zoomScale="80" zoomScaleNormal="80" workbookViewId="0">
      <selection activeCell="E27" sqref="E27"/>
    </sheetView>
  </sheetViews>
  <sheetFormatPr defaultColWidth="8.6328125" defaultRowHeight="12.5" x14ac:dyDescent="0.25"/>
  <cols>
    <col min="1" max="1" width="2.1796875" customWidth="1"/>
    <col min="2" max="2" width="57.453125" customWidth="1"/>
    <col min="3" max="3" width="16.453125" customWidth="1"/>
    <col min="4" max="4" width="4.453125" customWidth="1"/>
    <col min="5" max="5" width="63.6328125" customWidth="1"/>
    <col min="6" max="6" width="16.453125" customWidth="1"/>
  </cols>
  <sheetData>
    <row r="1" spans="2:6" ht="19.5" customHeight="1" x14ac:dyDescent="0.35">
      <c r="B1" s="159" t="s">
        <v>100</v>
      </c>
      <c r="C1" s="159"/>
    </row>
    <row r="2" spans="2:6" ht="12.75" customHeight="1" x14ac:dyDescent="0.25">
      <c r="B2" s="218" t="s">
        <v>101</v>
      </c>
      <c r="C2" s="218"/>
      <c r="E2" s="138"/>
    </row>
    <row r="3" spans="2:6" ht="12.75" customHeight="1" thickBot="1" x14ac:dyDescent="0.3"/>
    <row r="4" spans="2:6" ht="16.5" customHeight="1" thickBot="1" x14ac:dyDescent="0.35">
      <c r="B4" s="208" t="s">
        <v>102</v>
      </c>
      <c r="C4" s="209"/>
      <c r="E4" s="208" t="s">
        <v>103</v>
      </c>
      <c r="F4" s="232"/>
    </row>
    <row r="5" spans="2:6" ht="12.75" customHeight="1" thickBot="1" x14ac:dyDescent="0.3">
      <c r="C5" s="4"/>
      <c r="F5" s="4"/>
    </row>
    <row r="6" spans="2:6" ht="12.75" customHeight="1" thickBot="1" x14ac:dyDescent="0.3">
      <c r="B6" s="136" t="s">
        <v>4</v>
      </c>
      <c r="C6" s="18" t="s">
        <v>5</v>
      </c>
      <c r="E6" s="136" t="s">
        <v>4</v>
      </c>
      <c r="F6" s="18" t="s">
        <v>5</v>
      </c>
    </row>
    <row r="7" spans="2:6" ht="12.75" customHeight="1" x14ac:dyDescent="0.25">
      <c r="B7" s="1"/>
      <c r="C7" s="5"/>
      <c r="E7" s="1"/>
      <c r="F7" s="43"/>
    </row>
    <row r="8" spans="2:6" ht="12.75" customHeight="1" x14ac:dyDescent="0.3">
      <c r="B8" s="175" t="s">
        <v>90</v>
      </c>
      <c r="C8" s="135">
        <f>ROUND(('Personnel dénombrement'!F10)*1.1,0)</f>
        <v>17</v>
      </c>
      <c r="E8" s="156" t="s">
        <v>104</v>
      </c>
      <c r="F8" s="135">
        <f>'Personnel dénombrement'!F11+2</f>
        <v>17</v>
      </c>
    </row>
    <row r="9" spans="2:6" ht="12.75" customHeight="1" x14ac:dyDescent="0.3">
      <c r="B9" s="175"/>
      <c r="C9" s="134"/>
      <c r="E9" s="140" t="s">
        <v>196</v>
      </c>
      <c r="F9" s="134"/>
    </row>
    <row r="10" spans="2:6" ht="12.75" customHeight="1" x14ac:dyDescent="0.3">
      <c r="B10" s="175" t="s">
        <v>91</v>
      </c>
      <c r="C10" s="135">
        <f>C8</f>
        <v>17</v>
      </c>
      <c r="E10" s="10"/>
      <c r="F10" s="134"/>
    </row>
    <row r="11" spans="2:6" ht="12.75" customHeight="1" x14ac:dyDescent="0.3">
      <c r="B11" s="175"/>
      <c r="C11" s="134"/>
      <c r="E11" s="10" t="s">
        <v>105</v>
      </c>
      <c r="F11" s="135">
        <f>F8</f>
        <v>17</v>
      </c>
    </row>
    <row r="12" spans="2:6" ht="12.75" customHeight="1" x14ac:dyDescent="0.3">
      <c r="B12" s="175" t="s">
        <v>92</v>
      </c>
      <c r="C12" s="135">
        <f>C8</f>
        <v>17</v>
      </c>
      <c r="E12" s="10"/>
      <c r="F12" s="134"/>
    </row>
    <row r="13" spans="2:6" ht="28.5" customHeight="1" x14ac:dyDescent="0.3">
      <c r="B13" s="10"/>
      <c r="C13" s="134"/>
      <c r="E13" s="155" t="s">
        <v>106</v>
      </c>
      <c r="F13" s="135">
        <f>F8</f>
        <v>17</v>
      </c>
    </row>
    <row r="14" spans="2:6" ht="12.75" customHeight="1" x14ac:dyDescent="0.3">
      <c r="B14" s="10" t="s">
        <v>107</v>
      </c>
      <c r="C14" s="135">
        <f>C8</f>
        <v>17</v>
      </c>
      <c r="E14" s="137"/>
      <c r="F14" s="134"/>
    </row>
    <row r="15" spans="2:6" ht="12.75" customHeight="1" thickBot="1" x14ac:dyDescent="0.35">
      <c r="B15" s="10"/>
      <c r="C15" s="75"/>
      <c r="E15" s="141" t="s">
        <v>108</v>
      </c>
      <c r="F15" s="143">
        <f>F8</f>
        <v>17</v>
      </c>
    </row>
    <row r="16" spans="2:6" ht="12.75" customHeight="1" x14ac:dyDescent="0.3">
      <c r="B16" s="10" t="s">
        <v>109</v>
      </c>
      <c r="C16" s="135">
        <f>('Personnel dénombrement'!C10)</f>
        <v>15</v>
      </c>
      <c r="F16" s="9"/>
    </row>
    <row r="17" spans="2:25" ht="12.75" customHeight="1" x14ac:dyDescent="0.3">
      <c r="B17" s="10"/>
      <c r="C17" s="134"/>
      <c r="E17" s="228" t="s">
        <v>110</v>
      </c>
      <c r="F17" s="229"/>
    </row>
    <row r="18" spans="2:25" ht="12.75" customHeight="1" x14ac:dyDescent="0.3">
      <c r="B18" s="10" t="s">
        <v>111</v>
      </c>
      <c r="C18" s="135">
        <f>('Personnel dénombrement'!F10)+(2*'Personnel dénombrement'!C10)</f>
        <v>45</v>
      </c>
      <c r="E18" s="230"/>
      <c r="F18" s="231"/>
    </row>
    <row r="19" spans="2:25" ht="12.75" customHeight="1" x14ac:dyDescent="0.3">
      <c r="B19" s="10"/>
      <c r="C19" s="134"/>
      <c r="E19" s="230"/>
      <c r="F19" s="231"/>
    </row>
    <row r="20" spans="2:25" ht="12.75" customHeight="1" x14ac:dyDescent="0.3">
      <c r="B20" s="10" t="s">
        <v>112</v>
      </c>
      <c r="C20" s="135">
        <f>'Personnel dénombrement'!C10</f>
        <v>15</v>
      </c>
      <c r="E20" s="233" t="s">
        <v>113</v>
      </c>
      <c r="F20" s="234"/>
    </row>
    <row r="21" spans="2:25" ht="12.75" customHeight="1" thickBot="1" x14ac:dyDescent="0.3">
      <c r="B21" s="2"/>
      <c r="C21" s="8"/>
    </row>
    <row r="22" spans="2:25" ht="12.75" customHeight="1" x14ac:dyDescent="0.25">
      <c r="C22" s="9"/>
      <c r="E22" s="48"/>
    </row>
    <row r="23" spans="2:25" ht="12.75" customHeight="1" x14ac:dyDescent="0.25">
      <c r="B23" s="204" t="s">
        <v>195</v>
      </c>
      <c r="C23" s="205"/>
    </row>
    <row r="24" spans="2:25" ht="12.75" customHeight="1" x14ac:dyDescent="0.25">
      <c r="B24" s="200"/>
      <c r="C24" s="201"/>
    </row>
    <row r="25" spans="2:25" ht="20.25" customHeight="1" x14ac:dyDescent="0.25">
      <c r="B25" s="200"/>
      <c r="C25" s="201"/>
    </row>
    <row r="26" spans="2:25" ht="12.75" customHeight="1" x14ac:dyDescent="0.25">
      <c r="B26" s="224" t="s">
        <v>114</v>
      </c>
      <c r="C26" s="225"/>
    </row>
    <row r="27" spans="2:25" ht="12.75" customHeight="1" x14ac:dyDescent="0.25">
      <c r="B27" s="224" t="s">
        <v>115</v>
      </c>
      <c r="C27" s="225"/>
    </row>
    <row r="28" spans="2:25" x14ac:dyDescent="0.25">
      <c r="B28" s="226" t="s">
        <v>116</v>
      </c>
      <c r="C28" s="227"/>
      <c r="D28" s="125"/>
    </row>
    <row r="29" spans="2:25" s="4" customFormat="1" x14ac:dyDescent="0.25">
      <c r="B29"/>
      <c r="C29"/>
      <c r="D29" s="125"/>
      <c r="E29"/>
      <c r="F29"/>
      <c r="G29"/>
      <c r="H29"/>
      <c r="I29"/>
      <c r="J29"/>
      <c r="K29"/>
      <c r="L29"/>
      <c r="M29"/>
      <c r="N29"/>
      <c r="O29"/>
      <c r="P29"/>
      <c r="Q29"/>
      <c r="R29"/>
      <c r="S29"/>
      <c r="T29"/>
      <c r="U29"/>
      <c r="V29"/>
      <c r="W29"/>
      <c r="X29"/>
      <c r="Y29"/>
    </row>
    <row r="49" ht="12.75" customHeight="1" x14ac:dyDescent="0.25"/>
  </sheetData>
  <mergeCells count="9">
    <mergeCell ref="B27:C27"/>
    <mergeCell ref="B28:C28"/>
    <mergeCell ref="E17:F19"/>
    <mergeCell ref="B2:C2"/>
    <mergeCell ref="B4:C4"/>
    <mergeCell ref="B23:C25"/>
    <mergeCell ref="E4:F4"/>
    <mergeCell ref="B26:C26"/>
    <mergeCell ref="E20:F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58"/>
  <sheetViews>
    <sheetView zoomScale="80" zoomScaleNormal="80" workbookViewId="0">
      <selection activeCell="B2" sqref="B1:B1048576"/>
    </sheetView>
  </sheetViews>
  <sheetFormatPr defaultColWidth="8.6328125" defaultRowHeight="12.5" x14ac:dyDescent="0.25"/>
  <cols>
    <col min="1" max="1" width="2.1796875" customWidth="1"/>
    <col min="2" max="2" width="58.6328125" customWidth="1"/>
    <col min="3" max="3" width="15.453125" customWidth="1"/>
    <col min="4" max="4" width="2.1796875" customWidth="1"/>
    <col min="5" max="5" width="61.1796875" customWidth="1"/>
    <col min="6" max="7" width="13.6328125" style="4" customWidth="1"/>
    <col min="8" max="8" width="13.6328125" customWidth="1"/>
    <col min="9" max="9" width="13.1796875" customWidth="1"/>
    <col min="10" max="10" width="13.6328125" style="4" customWidth="1"/>
    <col min="11" max="12" width="13.1796875" customWidth="1"/>
    <col min="13" max="13" width="10.1796875" bestFit="1" customWidth="1"/>
  </cols>
  <sheetData>
    <row r="1" spans="2:12" ht="19.5" customHeight="1" x14ac:dyDescent="0.35">
      <c r="B1" s="184" t="s">
        <v>117</v>
      </c>
      <c r="C1" s="184"/>
      <c r="D1" s="184"/>
      <c r="E1" s="184"/>
    </row>
    <row r="2" spans="2:12" ht="13" customHeight="1" x14ac:dyDescent="0.25">
      <c r="B2" s="100" t="s">
        <v>197</v>
      </c>
      <c r="C2" s="176"/>
      <c r="D2" s="176"/>
      <c r="E2" s="176"/>
      <c r="F2" s="100"/>
      <c r="G2" s="100"/>
      <c r="J2" s="100"/>
    </row>
    <row r="3" spans="2:12" ht="12.75" customHeight="1" thickBot="1" x14ac:dyDescent="0.3">
      <c r="E3" s="113"/>
      <c r="F3" s="113"/>
    </row>
    <row r="4" spans="2:12" ht="13" thickBot="1" x14ac:dyDescent="0.3">
      <c r="B4" s="217" t="s">
        <v>50</v>
      </c>
      <c r="C4" s="217"/>
      <c r="E4" s="208" t="s">
        <v>81</v>
      </c>
      <c r="F4" s="235"/>
      <c r="G4" s="235"/>
      <c r="H4" s="235"/>
      <c r="I4" s="235"/>
      <c r="J4" s="235"/>
      <c r="K4" s="235"/>
      <c r="L4" s="236"/>
    </row>
    <row r="5" spans="2:12" ht="13" thickBot="1" x14ac:dyDescent="0.3">
      <c r="C5" s="4"/>
    </row>
    <row r="6" spans="2:12" ht="15" thickBot="1" x14ac:dyDescent="0.3">
      <c r="B6" s="3" t="s">
        <v>4</v>
      </c>
      <c r="C6" s="162" t="s">
        <v>5</v>
      </c>
      <c r="E6" s="69" t="s">
        <v>4</v>
      </c>
      <c r="F6" s="182" t="s">
        <v>118</v>
      </c>
      <c r="G6" s="67" t="s">
        <v>119</v>
      </c>
      <c r="H6" s="94" t="s">
        <v>120</v>
      </c>
      <c r="I6" s="243" t="s">
        <v>121</v>
      </c>
      <c r="J6" s="244"/>
      <c r="K6" s="94" t="s">
        <v>122</v>
      </c>
      <c r="L6" s="94" t="s">
        <v>123</v>
      </c>
    </row>
    <row r="7" spans="2:12" ht="13" x14ac:dyDescent="0.3">
      <c r="B7" s="42"/>
      <c r="C7" s="80"/>
      <c r="E7" s="69"/>
      <c r="F7" s="83"/>
      <c r="G7" s="102"/>
      <c r="H7" s="107"/>
      <c r="I7" s="102"/>
      <c r="J7" s="102"/>
      <c r="K7" s="83"/>
      <c r="L7" s="107"/>
    </row>
    <row r="8" spans="2:12" ht="13" x14ac:dyDescent="0.3">
      <c r="B8" s="47" t="s">
        <v>25</v>
      </c>
      <c r="C8" s="57">
        <f>'Durée du terrain'!C8/'Durée du terrain'!C16</f>
        <v>600</v>
      </c>
      <c r="E8" s="177" t="s">
        <v>124</v>
      </c>
      <c r="F8" s="72"/>
      <c r="G8" s="103"/>
      <c r="H8" s="77"/>
      <c r="I8" s="103"/>
      <c r="J8" s="103"/>
      <c r="K8" s="77"/>
      <c r="L8" s="77"/>
    </row>
    <row r="9" spans="2:12" ht="13" x14ac:dyDescent="0.3">
      <c r="B9" s="52"/>
      <c r="C9" s="81"/>
      <c r="E9" s="178" t="s">
        <v>125</v>
      </c>
      <c r="F9" s="72"/>
      <c r="G9" s="103"/>
      <c r="H9" s="77"/>
      <c r="I9" s="103"/>
      <c r="J9" s="103"/>
      <c r="K9" s="77"/>
      <c r="L9" s="77"/>
    </row>
    <row r="10" spans="2:12" ht="13" x14ac:dyDescent="0.25">
      <c r="B10" s="47" t="s">
        <v>126</v>
      </c>
      <c r="C10" s="57">
        <f>'Durée du terrain'!C12</f>
        <v>20</v>
      </c>
      <c r="E10" s="179" t="s">
        <v>127</v>
      </c>
      <c r="F10" s="49">
        <f>ROUNDUP($C$10*(1+$C$27),0)</f>
        <v>22</v>
      </c>
      <c r="G10" s="104">
        <f>F10/$C$10</f>
        <v>1.1000000000000001</v>
      </c>
      <c r="H10" s="149">
        <v>1120</v>
      </c>
      <c r="I10" s="104">
        <v>1</v>
      </c>
      <c r="J10" s="104" t="s">
        <v>128</v>
      </c>
      <c r="K10" s="109">
        <f>ROUNDUP(F10/I10,0)</f>
        <v>22</v>
      </c>
      <c r="L10" s="109">
        <f>H10*K10</f>
        <v>24640</v>
      </c>
    </row>
    <row r="11" spans="2:12" ht="13" thickBot="1" x14ac:dyDescent="0.3">
      <c r="B11" s="73"/>
      <c r="C11" s="82"/>
      <c r="E11" s="180" t="s">
        <v>129</v>
      </c>
      <c r="F11" s="49">
        <f>ROUNDUP($C$10*(1+$C$27),0)</f>
        <v>22</v>
      </c>
      <c r="G11" s="104">
        <f t="shared" ref="G11:G13" si="0">F11/$C$10</f>
        <v>1.1000000000000001</v>
      </c>
      <c r="H11" s="149">
        <v>4.2</v>
      </c>
      <c r="I11" s="104">
        <v>1</v>
      </c>
      <c r="J11" s="104" t="s">
        <v>128</v>
      </c>
      <c r="K11" s="109">
        <f>ROUNDUP(F11/I11,0)</f>
        <v>22</v>
      </c>
      <c r="L11" s="109">
        <f t="shared" ref="L11:L13" si="1">H11*K11</f>
        <v>92.4</v>
      </c>
    </row>
    <row r="12" spans="2:12" ht="14.25" customHeight="1" thickBot="1" x14ac:dyDescent="0.3">
      <c r="B12" s="59"/>
      <c r="C12" s="51"/>
      <c r="E12" s="181" t="s">
        <v>130</v>
      </c>
      <c r="F12" s="49">
        <f>ROUNDUP($C$10*(1+$C$27),0)</f>
        <v>22</v>
      </c>
      <c r="G12" s="104">
        <f>F12/$C$10</f>
        <v>1.1000000000000001</v>
      </c>
      <c r="H12" s="149">
        <v>37.79</v>
      </c>
      <c r="I12" s="104">
        <v>50</v>
      </c>
      <c r="J12" s="104" t="s">
        <v>131</v>
      </c>
      <c r="K12" s="109">
        <f>ROUNDUP(F12/I12,0)</f>
        <v>1</v>
      </c>
      <c r="L12" s="109">
        <f t="shared" si="1"/>
        <v>37.79</v>
      </c>
    </row>
    <row r="13" spans="2:12" ht="13.5" thickBot="1" x14ac:dyDescent="0.35">
      <c r="B13" s="186" t="s">
        <v>132</v>
      </c>
      <c r="C13" s="187"/>
      <c r="E13" s="181" t="s">
        <v>133</v>
      </c>
      <c r="F13" s="49">
        <f>ROUNDUP($C$10*(1+$C$27),0)</f>
        <v>22</v>
      </c>
      <c r="G13" s="104">
        <f t="shared" si="0"/>
        <v>1.1000000000000001</v>
      </c>
      <c r="H13" s="149">
        <v>24.43</v>
      </c>
      <c r="I13" s="104">
        <v>1</v>
      </c>
      <c r="J13" s="104" t="s">
        <v>128</v>
      </c>
      <c r="K13" s="109">
        <f>ROUNDUP(F13/I13,0)</f>
        <v>22</v>
      </c>
      <c r="L13" s="109">
        <f t="shared" si="1"/>
        <v>537.46</v>
      </c>
    </row>
    <row r="14" spans="2:12" ht="14.25" customHeight="1" thickBot="1" x14ac:dyDescent="0.35">
      <c r="C14" s="4"/>
      <c r="E14" s="87" t="s">
        <v>134</v>
      </c>
      <c r="F14" s="101"/>
      <c r="G14" s="105"/>
      <c r="H14" s="150"/>
      <c r="I14" s="105"/>
      <c r="J14" s="105"/>
      <c r="K14" s="101"/>
      <c r="L14" s="101">
        <f>SUM(L10:L13)</f>
        <v>25307.65</v>
      </c>
    </row>
    <row r="15" spans="2:12" ht="13" thickBot="1" x14ac:dyDescent="0.3">
      <c r="B15" s="32" t="s">
        <v>4</v>
      </c>
      <c r="C15" s="18" t="s">
        <v>5</v>
      </c>
      <c r="E15" s="1"/>
      <c r="F15" s="5"/>
      <c r="H15" s="151"/>
      <c r="K15" s="1"/>
      <c r="L15" s="1"/>
    </row>
    <row r="16" spans="2:12" ht="13" x14ac:dyDescent="0.3">
      <c r="B16" s="28"/>
      <c r="C16" s="83"/>
      <c r="E16" s="177" t="s">
        <v>135</v>
      </c>
      <c r="F16" s="78"/>
      <c r="G16" s="103"/>
      <c r="H16" s="152"/>
      <c r="I16" s="103"/>
      <c r="J16" s="103"/>
      <c r="K16" s="77"/>
      <c r="L16" s="77"/>
    </row>
    <row r="17" spans="2:13" ht="12.75" customHeight="1" x14ac:dyDescent="0.3">
      <c r="B17" s="31" t="s">
        <v>136</v>
      </c>
      <c r="C17" s="84">
        <v>5</v>
      </c>
      <c r="E17" s="178" t="s">
        <v>137</v>
      </c>
      <c r="F17" s="77"/>
      <c r="G17" s="103"/>
      <c r="H17" s="152"/>
      <c r="I17" s="103"/>
      <c r="J17" s="103"/>
      <c r="K17" s="77"/>
      <c r="L17" s="77"/>
    </row>
    <row r="18" spans="2:13" ht="12.75" customHeight="1" x14ac:dyDescent="0.25">
      <c r="B18" s="31"/>
      <c r="C18" s="72"/>
      <c r="E18" s="119" t="s">
        <v>138</v>
      </c>
      <c r="F18" s="49">
        <f>ROUNDUP(SUM(C17:C21)*C8*(1+C29),0)</f>
        <v>8250</v>
      </c>
      <c r="G18" s="104">
        <f>F18/$C$10</f>
        <v>412.5</v>
      </c>
      <c r="H18" s="149">
        <v>195.1</v>
      </c>
      <c r="I18" s="104">
        <v>150</v>
      </c>
      <c r="J18" s="104" t="s">
        <v>131</v>
      </c>
      <c r="K18" s="109">
        <f t="shared" ref="K18:K23" si="2">ROUNDUP(F18/I18,0)</f>
        <v>55</v>
      </c>
      <c r="L18" s="109">
        <f>H18*K18</f>
        <v>10730.5</v>
      </c>
      <c r="M18" s="125"/>
    </row>
    <row r="19" spans="2:13" ht="12.75" customHeight="1" x14ac:dyDescent="0.25">
      <c r="B19" s="31" t="s">
        <v>139</v>
      </c>
      <c r="C19" s="84">
        <v>5</v>
      </c>
      <c r="E19" s="119" t="s">
        <v>140</v>
      </c>
      <c r="F19" s="22">
        <f>ROUNDUP(SUM(C17:C21)*C8*(1+C29),0)</f>
        <v>8250</v>
      </c>
      <c r="G19" s="104">
        <f>F19/$C$10</f>
        <v>412.5</v>
      </c>
      <c r="H19" s="149">
        <v>1562.5</v>
      </c>
      <c r="I19" s="104">
        <v>1404</v>
      </c>
      <c r="J19" s="104" t="s">
        <v>131</v>
      </c>
      <c r="K19" s="109">
        <f t="shared" si="2"/>
        <v>6</v>
      </c>
      <c r="L19" s="109">
        <f t="shared" ref="L19:L23" si="3">H19*K19</f>
        <v>9375</v>
      </c>
    </row>
    <row r="20" spans="2:13" ht="12.75" customHeight="1" x14ac:dyDescent="0.25">
      <c r="B20" s="28"/>
      <c r="C20" s="77"/>
      <c r="E20" s="119" t="s">
        <v>141</v>
      </c>
      <c r="F20" s="129">
        <f>ROUNDUP(SUM(C17:C21)*C8*(1+C29),0)</f>
        <v>8250</v>
      </c>
      <c r="G20" s="104">
        <f t="shared" ref="G20:G23" si="4">F20/$C$10</f>
        <v>412.5</v>
      </c>
      <c r="H20" s="149">
        <v>6.81</v>
      </c>
      <c r="I20" s="104">
        <v>100</v>
      </c>
      <c r="J20" s="104" t="s">
        <v>131</v>
      </c>
      <c r="K20" s="109">
        <f t="shared" si="2"/>
        <v>83</v>
      </c>
      <c r="L20" s="109">
        <f t="shared" si="3"/>
        <v>565.23</v>
      </c>
    </row>
    <row r="21" spans="2:13" ht="12.75" customHeight="1" x14ac:dyDescent="0.25">
      <c r="B21" s="74" t="s">
        <v>142</v>
      </c>
      <c r="C21" s="84">
        <v>1</v>
      </c>
      <c r="E21" s="119" t="s">
        <v>143</v>
      </c>
      <c r="F21" s="129">
        <f>ROUNDUP(SUM(C17:C21)*C8*(1+C29),0)</f>
        <v>8250</v>
      </c>
      <c r="G21" s="104">
        <f t="shared" si="4"/>
        <v>412.5</v>
      </c>
      <c r="H21" s="149">
        <v>8.09</v>
      </c>
      <c r="I21" s="104">
        <v>100</v>
      </c>
      <c r="J21" s="104" t="s">
        <v>131</v>
      </c>
      <c r="K21" s="109">
        <f t="shared" si="2"/>
        <v>83</v>
      </c>
      <c r="L21" s="109">
        <f t="shared" si="3"/>
        <v>671.47</v>
      </c>
      <c r="M21" s="125"/>
    </row>
    <row r="22" spans="2:13" ht="12.75" customHeight="1" thickBot="1" x14ac:dyDescent="0.3">
      <c r="B22" s="30"/>
      <c r="C22" s="85"/>
      <c r="E22" s="119" t="s">
        <v>144</v>
      </c>
      <c r="F22" s="129">
        <f>ROUNDUP(SUM(C17:C19)*C8*(1+C29),0)</f>
        <v>7500</v>
      </c>
      <c r="G22" s="104">
        <f t="shared" si="4"/>
        <v>375</v>
      </c>
      <c r="H22" s="149">
        <v>80.849999999999994</v>
      </c>
      <c r="I22" s="104">
        <v>500</v>
      </c>
      <c r="J22" s="104" t="s">
        <v>131</v>
      </c>
      <c r="K22" s="109">
        <f t="shared" si="2"/>
        <v>15</v>
      </c>
      <c r="L22" s="109">
        <f t="shared" si="3"/>
        <v>1212.75</v>
      </c>
    </row>
    <row r="23" spans="2:13" ht="12.75" customHeight="1" x14ac:dyDescent="0.25">
      <c r="E23" s="119" t="s">
        <v>145</v>
      </c>
      <c r="F23" s="129">
        <f>ROUNDUP(SUM(C17:C21)*C8*(1+C29),0)</f>
        <v>8250</v>
      </c>
      <c r="G23" s="104">
        <f t="shared" si="4"/>
        <v>412.5</v>
      </c>
      <c r="H23" s="149">
        <v>0.88</v>
      </c>
      <c r="I23" s="104">
        <v>100</v>
      </c>
      <c r="J23" s="104" t="s">
        <v>131</v>
      </c>
      <c r="K23" s="109">
        <f t="shared" si="2"/>
        <v>83</v>
      </c>
      <c r="L23" s="109">
        <f t="shared" si="3"/>
        <v>73.040000000000006</v>
      </c>
    </row>
    <row r="24" spans="2:13" ht="12.75" customHeight="1" thickBot="1" x14ac:dyDescent="0.35">
      <c r="E24" s="87" t="s">
        <v>146</v>
      </c>
      <c r="F24" s="101"/>
      <c r="G24" s="105"/>
      <c r="H24" s="101"/>
      <c r="I24" s="105"/>
      <c r="J24" s="105"/>
      <c r="K24" s="101"/>
      <c r="L24" s="101">
        <f>SUM(L18:L23)</f>
        <v>22627.99</v>
      </c>
    </row>
    <row r="25" spans="2:13" ht="12.75" customHeight="1" thickBot="1" x14ac:dyDescent="0.3">
      <c r="B25" s="32" t="s">
        <v>4</v>
      </c>
      <c r="C25" s="18" t="s">
        <v>89</v>
      </c>
      <c r="E25" s="1"/>
      <c r="F25" s="5"/>
      <c r="H25" s="1"/>
      <c r="K25" s="1"/>
      <c r="L25" s="1"/>
      <c r="M25" s="125"/>
    </row>
    <row r="26" spans="2:13" ht="12.75" customHeight="1" x14ac:dyDescent="0.3">
      <c r="B26" s="28"/>
      <c r="C26" s="83"/>
      <c r="E26" s="16" t="s">
        <v>147</v>
      </c>
      <c r="F26" s="77"/>
      <c r="G26" s="103"/>
      <c r="H26" s="77"/>
      <c r="I26" s="103"/>
      <c r="J26" s="103"/>
      <c r="K26" s="77"/>
      <c r="L26" s="77">
        <f>(L14+L24)*0.1</f>
        <v>4793.5640000000003</v>
      </c>
    </row>
    <row r="27" spans="2:13" ht="12.75" customHeight="1" x14ac:dyDescent="0.25">
      <c r="B27" s="31" t="s">
        <v>148</v>
      </c>
      <c r="C27" s="153">
        <v>0.1</v>
      </c>
      <c r="E27" s="1"/>
      <c r="F27" s="77"/>
      <c r="G27" s="103"/>
      <c r="H27" s="77"/>
      <c r="I27" s="103"/>
      <c r="J27" s="103"/>
      <c r="K27" s="77"/>
      <c r="L27" s="77"/>
      <c r="M27" s="48"/>
    </row>
    <row r="28" spans="2:13" ht="12.75" customHeight="1" thickBot="1" x14ac:dyDescent="0.3">
      <c r="B28" s="31"/>
      <c r="C28" s="114"/>
      <c r="E28" s="2"/>
      <c r="F28" s="79"/>
      <c r="G28" s="106"/>
      <c r="H28" s="79"/>
      <c r="I28" s="106"/>
      <c r="J28" s="106"/>
      <c r="K28" s="79"/>
      <c r="L28" s="79"/>
    </row>
    <row r="29" spans="2:13" ht="12.75" customHeight="1" x14ac:dyDescent="0.25">
      <c r="B29" s="74" t="s">
        <v>149</v>
      </c>
      <c r="C29" s="153">
        <v>0.25</v>
      </c>
      <c r="K29" s="69"/>
      <c r="L29" s="89"/>
    </row>
    <row r="30" spans="2:13" ht="12.75" customHeight="1" thickBot="1" x14ac:dyDescent="0.35">
      <c r="B30" s="154" t="s">
        <v>151</v>
      </c>
      <c r="C30" s="115"/>
      <c r="E30" s="204" t="s">
        <v>198</v>
      </c>
      <c r="F30" s="240"/>
      <c r="G30" s="240"/>
      <c r="H30" s="205"/>
      <c r="J30"/>
      <c r="K30" s="92" t="s">
        <v>150</v>
      </c>
      <c r="L30" s="93">
        <f>L14+L24+L26</f>
        <v>52729.203999999998</v>
      </c>
      <c r="M30" s="48"/>
    </row>
    <row r="31" spans="2:13" ht="12.75" customHeight="1" x14ac:dyDescent="0.25">
      <c r="B31" s="31"/>
      <c r="C31" s="115"/>
      <c r="E31" s="200"/>
      <c r="F31" s="241"/>
      <c r="G31" s="241"/>
      <c r="H31" s="201"/>
      <c r="J31"/>
      <c r="K31" s="90"/>
      <c r="L31" s="91"/>
    </row>
    <row r="32" spans="2:13" ht="12.75" customHeight="1" x14ac:dyDescent="0.25">
      <c r="B32" s="31" t="s">
        <v>152</v>
      </c>
      <c r="C32" s="153">
        <v>0.1</v>
      </c>
      <c r="E32" s="202"/>
      <c r="F32" s="242"/>
      <c r="G32" s="242"/>
      <c r="H32" s="203"/>
      <c r="J32"/>
      <c r="K32" s="110"/>
      <c r="L32" s="111"/>
    </row>
    <row r="33" spans="2:12" ht="12.75" customHeight="1" thickBot="1" x14ac:dyDescent="0.3">
      <c r="B33" s="30"/>
      <c r="C33" s="85"/>
    </row>
    <row r="34" spans="2:12" ht="12.75" customHeight="1" thickBot="1" x14ac:dyDescent="0.3"/>
    <row r="35" spans="2:12" ht="13" thickBot="1" x14ac:dyDescent="0.3">
      <c r="E35" s="208" t="s">
        <v>153</v>
      </c>
      <c r="F35" s="235"/>
      <c r="G35" s="235"/>
      <c r="H35" s="235"/>
      <c r="I35" s="235"/>
      <c r="J35" s="235"/>
      <c r="K35" s="235"/>
      <c r="L35" s="236"/>
    </row>
    <row r="36" spans="2:12" ht="13" thickBot="1" x14ac:dyDescent="0.3"/>
    <row r="37" spans="2:12" ht="15" thickBot="1" x14ac:dyDescent="0.3">
      <c r="E37" s="144" t="s">
        <v>4</v>
      </c>
      <c r="F37" s="182" t="s">
        <v>118</v>
      </c>
      <c r="G37" s="67" t="s">
        <v>119</v>
      </c>
      <c r="H37" s="94" t="s">
        <v>154</v>
      </c>
      <c r="I37" s="243" t="s">
        <v>121</v>
      </c>
      <c r="J37" s="244"/>
      <c r="K37" s="94" t="s">
        <v>122</v>
      </c>
      <c r="L37" s="94" t="s">
        <v>123</v>
      </c>
    </row>
    <row r="38" spans="2:12" ht="13" x14ac:dyDescent="0.3">
      <c r="E38" s="145"/>
      <c r="F38" s="83"/>
      <c r="G38" s="102"/>
      <c r="H38" s="107"/>
      <c r="I38" s="102"/>
      <c r="J38" s="102"/>
      <c r="K38" s="83"/>
      <c r="L38" s="107"/>
    </row>
    <row r="39" spans="2:12" ht="13" x14ac:dyDescent="0.3">
      <c r="E39" s="16" t="s">
        <v>155</v>
      </c>
      <c r="F39" s="78"/>
      <c r="G39" s="103"/>
      <c r="H39" s="108"/>
      <c r="I39" s="103"/>
      <c r="J39" s="103"/>
      <c r="K39" s="77"/>
      <c r="L39" s="77"/>
    </row>
    <row r="40" spans="2:12" ht="13" x14ac:dyDescent="0.3">
      <c r="E40" s="112" t="s">
        <v>156</v>
      </c>
      <c r="F40" s="77"/>
      <c r="G40" s="103"/>
      <c r="H40" s="108"/>
      <c r="I40" s="103"/>
      <c r="J40" s="103"/>
      <c r="K40" s="77"/>
      <c r="L40" s="77"/>
    </row>
    <row r="41" spans="2:12" ht="14.5" x14ac:dyDescent="0.25">
      <c r="E41" s="146" t="s">
        <v>157</v>
      </c>
      <c r="F41" s="49">
        <f>ROUNDUP(5*C10*(1+C32),0)</f>
        <v>110</v>
      </c>
      <c r="G41" s="104">
        <f>F41/$C$10</f>
        <v>5.5</v>
      </c>
      <c r="H41" s="122">
        <v>3.18</v>
      </c>
      <c r="I41" s="104">
        <v>1</v>
      </c>
      <c r="J41" s="104" t="s">
        <v>158</v>
      </c>
      <c r="K41" s="109">
        <f t="shared" ref="K41:K48" si="5">ROUNDUP(F41/I41,0)</f>
        <v>110</v>
      </c>
      <c r="L41" s="109">
        <f>H41*K41</f>
        <v>349.8</v>
      </c>
    </row>
    <row r="42" spans="2:12" ht="14.5" x14ac:dyDescent="0.25">
      <c r="E42" s="146" t="s">
        <v>159</v>
      </c>
      <c r="F42" s="22">
        <f>ROUNDUP(C8*(1+C29),0)</f>
        <v>750</v>
      </c>
      <c r="G42" s="104">
        <f t="shared" ref="G42:G48" si="6">F42/$C$10</f>
        <v>37.5</v>
      </c>
      <c r="H42" s="122">
        <v>2.16</v>
      </c>
      <c r="I42" s="104">
        <v>30</v>
      </c>
      <c r="J42" s="183" t="s">
        <v>160</v>
      </c>
      <c r="K42" s="109">
        <f t="shared" si="5"/>
        <v>25</v>
      </c>
      <c r="L42" s="109">
        <f>H42*K42</f>
        <v>54</v>
      </c>
    </row>
    <row r="43" spans="2:12" ht="14.5" x14ac:dyDescent="0.25">
      <c r="E43" s="146" t="s">
        <v>161</v>
      </c>
      <c r="F43" s="129">
        <f>ROUNDUP(C10*3*(1+C32),0)</f>
        <v>66</v>
      </c>
      <c r="G43" s="104">
        <f t="shared" si="6"/>
        <v>3.3</v>
      </c>
      <c r="H43" s="122">
        <v>28.57</v>
      </c>
      <c r="I43" s="104">
        <v>10</v>
      </c>
      <c r="J43" s="183" t="s">
        <v>162</v>
      </c>
      <c r="K43" s="109">
        <f t="shared" si="5"/>
        <v>7</v>
      </c>
      <c r="L43" s="109">
        <f t="shared" ref="L43:L46" si="7">H43*K43</f>
        <v>199.99</v>
      </c>
    </row>
    <row r="44" spans="2:12" ht="14.5" x14ac:dyDescent="0.25">
      <c r="E44" s="146" t="s">
        <v>163</v>
      </c>
      <c r="F44" s="129">
        <f>ROUNDUP(C10*(1+C32),0)</f>
        <v>22</v>
      </c>
      <c r="G44" s="104">
        <f t="shared" si="6"/>
        <v>1.1000000000000001</v>
      </c>
      <c r="H44" s="122">
        <v>2.96</v>
      </c>
      <c r="I44" s="104">
        <v>1</v>
      </c>
      <c r="J44" s="183" t="s">
        <v>164</v>
      </c>
      <c r="K44" s="109">
        <f t="shared" si="5"/>
        <v>22</v>
      </c>
      <c r="L44" s="109">
        <f t="shared" si="7"/>
        <v>65.12</v>
      </c>
    </row>
    <row r="45" spans="2:12" ht="14.5" x14ac:dyDescent="0.25">
      <c r="E45" s="146" t="s">
        <v>165</v>
      </c>
      <c r="F45" s="129">
        <f>ROUNDUP(C10*12*(1+C32),0)</f>
        <v>264</v>
      </c>
      <c r="G45" s="104">
        <f t="shared" si="6"/>
        <v>13.2</v>
      </c>
      <c r="H45" s="122">
        <v>7.27</v>
      </c>
      <c r="I45" s="104">
        <v>1</v>
      </c>
      <c r="J45" s="183" t="s">
        <v>166</v>
      </c>
      <c r="K45" s="109">
        <f t="shared" si="5"/>
        <v>264</v>
      </c>
      <c r="L45" s="109">
        <f t="shared" si="7"/>
        <v>1919.28</v>
      </c>
    </row>
    <row r="46" spans="2:12" ht="14.5" x14ac:dyDescent="0.25">
      <c r="E46" s="146" t="s">
        <v>167</v>
      </c>
      <c r="F46" s="129">
        <f>ROUNDUP(C8*(1+C32),0)</f>
        <v>660</v>
      </c>
      <c r="G46" s="104">
        <f t="shared" si="6"/>
        <v>33</v>
      </c>
      <c r="H46" s="122">
        <v>3</v>
      </c>
      <c r="I46" s="104">
        <v>1</v>
      </c>
      <c r="J46" s="183" t="s">
        <v>168</v>
      </c>
      <c r="K46" s="109">
        <f t="shared" si="5"/>
        <v>660</v>
      </c>
      <c r="L46" s="109">
        <f t="shared" si="7"/>
        <v>1980</v>
      </c>
    </row>
    <row r="47" spans="2:12" ht="14.5" x14ac:dyDescent="0.25">
      <c r="E47" s="146" t="s">
        <v>169</v>
      </c>
      <c r="F47" s="129">
        <f>ROUNDUP(C10*2*(1+C32),0)</f>
        <v>44</v>
      </c>
      <c r="G47" s="104">
        <f t="shared" si="6"/>
        <v>2.2000000000000002</v>
      </c>
      <c r="H47" s="122">
        <v>2.66</v>
      </c>
      <c r="I47" s="104">
        <v>1</v>
      </c>
      <c r="J47" s="183" t="s">
        <v>164</v>
      </c>
      <c r="K47" s="109">
        <f t="shared" si="5"/>
        <v>44</v>
      </c>
      <c r="L47" s="109">
        <f>H47*K47</f>
        <v>117.04</v>
      </c>
    </row>
    <row r="48" spans="2:12" ht="14.5" x14ac:dyDescent="0.25">
      <c r="E48" s="146" t="s">
        <v>170</v>
      </c>
      <c r="F48" s="129">
        <f>ROUNDUP(C10*5*(1+C32),0)</f>
        <v>110</v>
      </c>
      <c r="G48" s="104">
        <f t="shared" si="6"/>
        <v>5.5</v>
      </c>
      <c r="H48" s="122">
        <v>9.1999999999999993</v>
      </c>
      <c r="I48" s="104">
        <v>10</v>
      </c>
      <c r="J48" s="183" t="s">
        <v>162</v>
      </c>
      <c r="K48" s="109">
        <f t="shared" si="5"/>
        <v>11</v>
      </c>
      <c r="L48" s="109">
        <f t="shared" ref="L48" si="8">H48*K48</f>
        <v>101.19999999999999</v>
      </c>
    </row>
    <row r="49" spans="5:12" ht="13" x14ac:dyDescent="0.3">
      <c r="E49" s="87" t="s">
        <v>171</v>
      </c>
      <c r="F49" s="77"/>
      <c r="G49" s="103"/>
      <c r="H49" s="77"/>
      <c r="I49" s="103"/>
      <c r="J49" s="103"/>
      <c r="K49" s="77"/>
      <c r="L49" s="116">
        <f>SUM(L41:L48)</f>
        <v>4786.43</v>
      </c>
    </row>
    <row r="50" spans="5:12" ht="13" x14ac:dyDescent="0.3">
      <c r="E50" s="16"/>
      <c r="F50" s="77"/>
      <c r="G50" s="103"/>
      <c r="H50" s="77"/>
      <c r="I50" s="103"/>
      <c r="J50" s="103"/>
      <c r="K50" s="77"/>
      <c r="L50" s="77"/>
    </row>
    <row r="51" spans="5:12" ht="13" x14ac:dyDescent="0.3">
      <c r="E51" s="147" t="s">
        <v>172</v>
      </c>
      <c r="F51" s="117"/>
      <c r="G51" s="118"/>
      <c r="H51" s="117"/>
      <c r="I51" s="118"/>
      <c r="J51" s="118"/>
      <c r="K51" s="117"/>
      <c r="L51" s="117">
        <f>L49*0.1</f>
        <v>478.64300000000003</v>
      </c>
    </row>
    <row r="52" spans="5:12" ht="13" thickBot="1" x14ac:dyDescent="0.3">
      <c r="E52" s="148"/>
      <c r="F52" s="79"/>
      <c r="G52" s="106"/>
      <c r="H52" s="79"/>
      <c r="I52" s="106"/>
      <c r="J52" s="106"/>
      <c r="K52" s="79"/>
      <c r="L52" s="79"/>
    </row>
    <row r="53" spans="5:12" x14ac:dyDescent="0.25">
      <c r="K53" s="69"/>
      <c r="L53" s="89"/>
    </row>
    <row r="54" spans="5:12" ht="13.5" thickBot="1" x14ac:dyDescent="0.35">
      <c r="E54" s="204" t="s">
        <v>173</v>
      </c>
      <c r="F54" s="240"/>
      <c r="G54" s="240"/>
      <c r="H54" s="205"/>
      <c r="K54" s="92" t="s">
        <v>150</v>
      </c>
      <c r="L54" s="93">
        <f>SUM(L49+L51)</f>
        <v>5265.0730000000003</v>
      </c>
    </row>
    <row r="55" spans="5:12" ht="13" x14ac:dyDescent="0.3">
      <c r="E55" s="200"/>
      <c r="F55" s="241"/>
      <c r="G55" s="241"/>
      <c r="H55" s="201"/>
      <c r="K55" s="123"/>
      <c r="L55" s="124"/>
    </row>
    <row r="56" spans="5:12" ht="20.25" customHeight="1" x14ac:dyDescent="0.3">
      <c r="E56" s="202"/>
      <c r="F56" s="242"/>
      <c r="G56" s="242"/>
      <c r="H56" s="203"/>
      <c r="K56" s="123"/>
      <c r="L56" s="124"/>
    </row>
    <row r="57" spans="5:12" ht="13" thickBot="1" x14ac:dyDescent="0.3"/>
    <row r="58" spans="5:12" ht="13.5" thickBot="1" x14ac:dyDescent="0.35">
      <c r="E58" s="237" t="s">
        <v>174</v>
      </c>
      <c r="F58" s="238"/>
      <c r="G58" s="238"/>
      <c r="H58" s="238"/>
      <c r="I58" s="238"/>
      <c r="J58" s="239"/>
      <c r="K58" s="120" t="s">
        <v>150</v>
      </c>
      <c r="L58" s="121">
        <f>L54+L30</f>
        <v>57994.277000000002</v>
      </c>
    </row>
  </sheetData>
  <mergeCells count="10">
    <mergeCell ref="B1:E1"/>
    <mergeCell ref="B4:C4"/>
    <mergeCell ref="B13:C13"/>
    <mergeCell ref="E4:L4"/>
    <mergeCell ref="E58:J58"/>
    <mergeCell ref="E54:H56"/>
    <mergeCell ref="E35:L35"/>
    <mergeCell ref="I37:J37"/>
    <mergeCell ref="I6:J6"/>
    <mergeCell ref="E30:H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Value>23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03aba595-bc08-4bc6-a067-44fa0d6fce4c" xsi:nil="true"/>
    <TaxKeywordTaxHTField xmlns="03aba595-bc08-4bc6-a067-44fa0d6fce4c">
      <Terms xmlns="http://schemas.microsoft.com/office/infopath/2007/PartnerControls">
        <TermInfo xmlns="http://schemas.microsoft.com/office/infopath/2007/PartnerControls">
          <TermName xmlns="http://schemas.microsoft.com/office/infopath/2007/PartnerControls">MICS6</TermName>
          <TermId xmlns="http://schemas.microsoft.com/office/infopath/2007/PartnerControls">fa90bbfa-5261-4494-8646-ce8b234e25fe</TermId>
        </TermInfo>
      </Terms>
    </TaxKeywordTaxHTField>
    <lcf76f155ced4ddcb4097134ff3c332f xmlns="2aac1c47-a7bd-4382-bbe6-d59290c165d5">
      <Terms xmlns="http://schemas.microsoft.com/office/infopath/2007/PartnerControls"/>
    </lcf76f155ced4ddcb4097134ff3c332f>
  </documentManagement>
</p:properties>
</file>

<file path=customXml/item4.xml><?xml version="1.0" encoding="utf-8"?>
<?mso-contentType ?>
<spe:Receivers xmlns:spe="http://schemas.microsoft.com/sharepoint/events"/>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5" ma:contentTypeDescription="Create a new document." ma:contentTypeScope="" ma:versionID="20e7b15c5081c49e3044daa0dd3d3508">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9a0e1970766081fc11b5aaffdf597d95"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3C105C-76B5-4A72-8FA8-188F204B9455}">
  <ds:schemaRefs>
    <ds:schemaRef ds:uri="http://schemas.microsoft.com/sharepoint/v3/contenttype/forms"/>
  </ds:schemaRefs>
</ds:datastoreItem>
</file>

<file path=customXml/itemProps2.xml><?xml version="1.0" encoding="utf-8"?>
<ds:datastoreItem xmlns:ds="http://schemas.openxmlformats.org/officeDocument/2006/customXml" ds:itemID="{5D9D7957-DFC6-4366-89DC-CD92BC03BFCF}">
  <ds:schemaRefs>
    <ds:schemaRef ds:uri="Microsoft.SharePoint.Taxonomy.ContentTypeSync"/>
  </ds:schemaRefs>
</ds:datastoreItem>
</file>

<file path=customXml/itemProps3.xml><?xml version="1.0" encoding="utf-8"?>
<ds:datastoreItem xmlns:ds="http://schemas.openxmlformats.org/officeDocument/2006/customXml" ds:itemID="{50143DA2-6EBF-4DEB-B884-409EB09311B6}">
  <ds:schemaRefs>
    <ds:schemaRef ds:uri="http://schemas.microsoft.com/office/2006/metadata/properties"/>
    <ds:schemaRef ds:uri="http://schemas.microsoft.com/office/infopath/2007/PartnerControls"/>
    <ds:schemaRef ds:uri="ca283e0b-db31-4043-a2ef-b80661bf084a"/>
    <ds:schemaRef ds:uri="http://schemas.microsoft.com/sharepoint/v4"/>
    <ds:schemaRef ds:uri="http://schemas.microsoft.com/sharepoint.v3"/>
    <ds:schemaRef ds:uri="d0177c13-debd-4ef2-961e-d9a825a56542"/>
    <ds:schemaRef ds:uri="0e53d4a5-cdc7-4be0-9ee8-798ccdccf14d"/>
  </ds:schemaRefs>
</ds:datastoreItem>
</file>

<file path=customXml/itemProps4.xml><?xml version="1.0" encoding="utf-8"?>
<ds:datastoreItem xmlns:ds="http://schemas.openxmlformats.org/officeDocument/2006/customXml" ds:itemID="{14E89C90-2D63-4F33-A9CB-12175E3C4B29}">
  <ds:schemaRefs>
    <ds:schemaRef ds:uri="http://schemas.microsoft.com/sharepoint/events"/>
  </ds:schemaRefs>
</ds:datastoreItem>
</file>

<file path=customXml/itemProps5.xml><?xml version="1.0" encoding="utf-8"?>
<ds:datastoreItem xmlns:ds="http://schemas.openxmlformats.org/officeDocument/2006/customXml" ds:itemID="{8FA3D134-EA3B-4361-93B9-C79533C5E4FC}">
  <ds:schemaRefs>
    <ds:schemaRef ds:uri="http://schemas.microsoft.com/office/2006/metadata/customXsn"/>
  </ds:schemaRefs>
</ds:datastoreItem>
</file>

<file path=customXml/itemProps6.xml><?xml version="1.0" encoding="utf-8"?>
<ds:datastoreItem xmlns:ds="http://schemas.openxmlformats.org/officeDocument/2006/customXml" ds:itemID="{82320194-2D2C-4180-B6A7-20072F7EBE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Durée du terrain</vt:lpstr>
      <vt:lpstr>Personnel de terrain</vt:lpstr>
      <vt:lpstr>Durée dénombrement</vt:lpstr>
      <vt:lpstr>Personnel dénombrement</vt:lpstr>
      <vt:lpstr>Équipement</vt:lpstr>
      <vt:lpstr>Fournitures tablettes principal</vt:lpstr>
      <vt:lpstr>Fournitures facultatives</vt:lpstr>
      <vt:lpstr>Équipement de test de l'eau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MICS6</cp:keywords>
  <dc:description/>
  <cp:lastModifiedBy>Marie Melocco</cp:lastModifiedBy>
  <cp:revision/>
  <dcterms:created xsi:type="dcterms:W3CDTF">2005-05-03T23:15:00Z</dcterms:created>
  <dcterms:modified xsi:type="dcterms:W3CDTF">2024-01-30T06:31:28Z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SystemDTAC">
    <vt:lpwstr/>
  </property>
  <property fmtid="{D5CDD505-2E9C-101B-9397-08002B2CF9AE}" pid="4" name="TaxKeyword">
    <vt:lpwstr>23;#MICS6|fa90bbfa-5261-4494-8646-ce8b234e25fe</vt:lpwstr>
  </property>
  <property fmtid="{D5CDD505-2E9C-101B-9397-08002B2CF9AE}" pid="5" name="Topic">
    <vt:lpwstr/>
  </property>
  <property fmtid="{D5CDD505-2E9C-101B-9397-08002B2CF9AE}" pid="6" name="MediaServiceImageTags">
    <vt:lpwstr/>
  </property>
  <property fmtid="{D5CDD505-2E9C-101B-9397-08002B2CF9AE}" pid="7" name="OfficeDivision">
    <vt:lpwstr>3;#Analysis,Planning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