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mc:AlternateContent xmlns:mc="http://schemas.openxmlformats.org/markup-compatibility/2006">
    <mc:Choice Requires="x15">
      <x15ac:absPath xmlns:x15ac="http://schemas.microsoft.com/office/spreadsheetml/2010/11/ac" url="C:\Users\Lenovo\Downloads\Trans\11 Planning the Survey\"/>
    </mc:Choice>
  </mc:AlternateContent>
  <xr:revisionPtr revIDLastSave="0" documentId="13_ncr:1_{9A50FB2C-0F2C-432A-98B2-B789AC748617}" xr6:coauthVersionLast="47" xr6:coauthVersionMax="47" xr10:uidLastSave="{00000000-0000-0000-0000-000000000000}"/>
  <bookViews>
    <workbookView xWindow="-108" yWindow="-108" windowWidth="23256" windowHeight="12576" tabRatio="755" xr2:uid="{00000000-000D-0000-FFFF-FFFF00000000}"/>
  </bookViews>
  <sheets>
    <sheet name="Длительность работ на местах" sheetId="18" r:id="rId1"/>
    <sheet name="Персонал на местах" sheetId="8" r:id="rId2"/>
    <sheet name="Длит-ть составления списков" sheetId="17" r:id="rId3"/>
    <sheet name="Персонал для составл-я списков" sheetId="11" r:id="rId4"/>
    <sheet name="Предметы снабжения" sheetId="7" r:id="rId5"/>
    <sheet name="Предметы снабж-я для планшетов" sheetId="15" r:id="rId6"/>
    <sheet name="Дополнительные предметы снабжен" sheetId="21" r:id="rId7"/>
    <sheet name="Качество воды" sheetId="14" r:id="rId8"/>
  </sheets>
  <definedNames>
    <definedName name="Print_Titles_MI" localSheetId="7">#REF!</definedName>
    <definedName name="Print_Titles_MI">#REF!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14" l="1"/>
  <c r="F23" i="14" s="1"/>
  <c r="F19" i="14" l="1"/>
  <c r="F18" i="14"/>
  <c r="C6" i="17" l="1"/>
  <c r="F14" i="18"/>
  <c r="F10" i="7"/>
  <c r="F8" i="7"/>
  <c r="C18" i="21"/>
  <c r="C16" i="21"/>
  <c r="C8" i="21"/>
  <c r="F10" i="18" l="1"/>
  <c r="F12" i="18" s="1"/>
  <c r="F16" i="18" s="1"/>
  <c r="F21" i="18" l="1"/>
  <c r="F17" i="18"/>
  <c r="F19" i="18" s="1"/>
  <c r="F8" i="18"/>
  <c r="C20" i="15" l="1"/>
  <c r="C16" i="15"/>
  <c r="C14" i="7"/>
  <c r="F29" i="8" l="1"/>
  <c r="C16" i="8"/>
  <c r="C14" i="8"/>
  <c r="C10" i="8"/>
  <c r="C8" i="8"/>
  <c r="C10" i="11"/>
  <c r="C10" i="14"/>
  <c r="F13" i="17"/>
  <c r="F15" i="17" s="1"/>
  <c r="F19" i="17" s="1"/>
  <c r="F10" i="14" l="1"/>
  <c r="F11" i="14"/>
  <c r="F12" i="14"/>
  <c r="F13" i="14"/>
  <c r="F43" i="14"/>
  <c r="F48" i="14"/>
  <c r="F47" i="14"/>
  <c r="F44" i="14"/>
  <c r="F41" i="14"/>
  <c r="C20" i="21"/>
  <c r="F9" i="11"/>
  <c r="F17" i="17"/>
  <c r="C12" i="11" s="1"/>
  <c r="C8" i="11"/>
  <c r="F42" i="14" l="1"/>
  <c r="F46" i="14"/>
  <c r="F11" i="8"/>
  <c r="C12" i="8"/>
  <c r="F10" i="11" l="1"/>
  <c r="F11" i="11"/>
  <c r="F28" i="8"/>
  <c r="F24" i="11"/>
  <c r="F23" i="11"/>
  <c r="F21" i="11" l="1"/>
  <c r="F8" i="21"/>
  <c r="F20" i="11"/>
  <c r="F8" i="8"/>
  <c r="F21" i="14"/>
  <c r="G21" i="14" s="1"/>
  <c r="F20" i="14"/>
  <c r="G20" i="14" s="1"/>
  <c r="G19" i="14"/>
  <c r="G18" i="14"/>
  <c r="K42" i="14"/>
  <c r="L42" i="14" s="1"/>
  <c r="G23" i="14"/>
  <c r="F22" i="14"/>
  <c r="G22" i="14" s="1"/>
  <c r="G11" i="14"/>
  <c r="G13" i="14"/>
  <c r="F45" i="14"/>
  <c r="G10" i="14"/>
  <c r="F19" i="11"/>
  <c r="F12" i="11"/>
  <c r="G12" i="14" l="1"/>
  <c r="K12" i="14"/>
  <c r="L12" i="14" s="1"/>
  <c r="C14" i="21"/>
  <c r="C10" i="21"/>
  <c r="C12" i="21"/>
  <c r="F15" i="21"/>
  <c r="F13" i="21"/>
  <c r="F11" i="21"/>
  <c r="K21" i="14"/>
  <c r="L21" i="14" s="1"/>
  <c r="K11" i="14"/>
  <c r="L11" i="14" s="1"/>
  <c r="K41" i="14"/>
  <c r="L41" i="14" s="1"/>
  <c r="G41" i="14"/>
  <c r="G42" i="14"/>
  <c r="K10" i="14"/>
  <c r="L10" i="14" s="1"/>
  <c r="K22" i="14"/>
  <c r="L22" i="14" s="1"/>
  <c r="K19" i="14"/>
  <c r="L19" i="14" s="1"/>
  <c r="K23" i="14"/>
  <c r="L23" i="14" s="1"/>
  <c r="K48" i="14"/>
  <c r="L48" i="14" s="1"/>
  <c r="G48" i="14"/>
  <c r="K45" i="14"/>
  <c r="L45" i="14" s="1"/>
  <c r="G45" i="14"/>
  <c r="K18" i="14"/>
  <c r="L18" i="14" s="1"/>
  <c r="K13" i="14"/>
  <c r="L13" i="14" s="1"/>
  <c r="K47" i="14"/>
  <c r="L47" i="14" s="1"/>
  <c r="G47" i="14"/>
  <c r="K20" i="14"/>
  <c r="L20" i="14" s="1"/>
  <c r="K44" i="14"/>
  <c r="L44" i="14" s="1"/>
  <c r="G44" i="14"/>
  <c r="K43" i="14"/>
  <c r="L43" i="14" s="1"/>
  <c r="G43" i="14"/>
  <c r="K46" i="14"/>
  <c r="L46" i="14" s="1"/>
  <c r="G46" i="14"/>
  <c r="F9" i="8"/>
  <c r="F10" i="8" s="1"/>
  <c r="F12" i="8" s="1"/>
  <c r="F13" i="11"/>
  <c r="F22" i="11"/>
  <c r="F25" i="11" s="1"/>
  <c r="L24" i="14" l="1"/>
  <c r="L49" i="14"/>
  <c r="L14" i="14"/>
  <c r="F16" i="8"/>
  <c r="F15" i="8"/>
  <c r="F24" i="8" s="1"/>
  <c r="F17" i="8"/>
  <c r="F26" i="8" l="1"/>
  <c r="C8" i="7"/>
  <c r="C10" i="7"/>
  <c r="L26" i="14"/>
  <c r="L30" i="14" s="1"/>
  <c r="L51" i="14"/>
  <c r="L54" i="14" s="1"/>
  <c r="F18" i="8"/>
  <c r="F25" i="8"/>
  <c r="C12" i="7" s="1"/>
  <c r="C18" i="15" s="1"/>
  <c r="F19" i="8" l="1"/>
  <c r="F27" i="8"/>
  <c r="F30" i="8" s="1"/>
  <c r="L58" i="14"/>
  <c r="C14" i="15" l="1"/>
  <c r="C12" i="15"/>
  <c r="C8" i="15"/>
  <c r="C10" i="15"/>
</calcChain>
</file>

<file path=xl/sharedStrings.xml><?xml version="1.0" encoding="utf-8"?>
<sst xmlns="http://schemas.openxmlformats.org/spreadsheetml/2006/main" count="280" uniqueCount="194">
  <si>
    <t>Value</t>
  </si>
  <si>
    <t>Шаблон для расчета длительности работ на местах</t>
  </si>
  <si>
    <t>В таблицу значений на входе введите значения из плана обследования MICS. Соответствующие оценки длительности работ на местах отобразятся в таблице значений на выходе. Данная динамическая таблица служит исходными данными для других листов рабочей книги. Следовательно, рекомендуется сначала ввести данные в нее, а затем постоянно подтверждать, что в данные на входе здесь введены верные значения.</t>
  </si>
  <si>
    <t>ЗНАЧЕНИЯ НА ВХОДЕ</t>
  </si>
  <si>
    <t>ЗНАЧЕНИЯ НА ВЫХОДЕ</t>
  </si>
  <si>
    <t>Параметр</t>
  </si>
  <si>
    <t>Оценки</t>
  </si>
  <si>
    <t>Значение</t>
  </si>
  <si>
    <t>Число домохозяйств (общий объем выборки)</t>
  </si>
  <si>
    <r>
      <t>Число домохозяйств, опрос которых один интервьюер должен проводить за день</t>
    </r>
    <r>
      <rPr>
        <vertAlign val="superscript"/>
        <sz val="10"/>
        <rFont val="Arial"/>
        <family val="2"/>
      </rPr>
      <t>1</t>
    </r>
    <r>
      <rPr>
        <sz val="10"/>
        <rFont val="Arial"/>
        <family val="2"/>
      </rPr>
      <t xml:space="preserve"> (чистое)</t>
    </r>
  </si>
  <si>
    <r>
      <t>Число команд для работы на местах</t>
    </r>
    <r>
      <rPr>
        <vertAlign val="superscript"/>
        <sz val="10"/>
        <rFont val="Arial"/>
        <family val="2"/>
      </rPr>
      <t>2</t>
    </r>
  </si>
  <si>
    <r>
      <t>Число интервьюеров на одну команду</t>
    </r>
    <r>
      <rPr>
        <vertAlign val="superscript"/>
        <sz val="10"/>
        <rFont val="Arial"/>
        <family val="2"/>
      </rPr>
      <t>3</t>
    </r>
  </si>
  <si>
    <r>
      <t>Число домохозяйств в кластере</t>
    </r>
    <r>
      <rPr>
        <vertAlign val="superscript"/>
        <sz val="10"/>
        <rFont val="Arial"/>
        <family val="2"/>
      </rPr>
      <t>4</t>
    </r>
  </si>
  <si>
    <t>Дата начала работ на местах [дд.мм.гггг]</t>
  </si>
  <si>
    <t>Дата окончания работ на местах [дд.мм.гггг]</t>
  </si>
  <si>
    <t>Общая длительность работ на местах, дней</t>
  </si>
  <si>
    <r>
      <t>1 неделя = 5 рабочих дней + 1 день отдыха + 1 день для разъездов</t>
    </r>
    <r>
      <rPr>
        <i/>
        <vertAlign val="superscript"/>
        <sz val="10"/>
        <rFont val="Arial"/>
        <family val="2"/>
      </rPr>
      <t>5</t>
    </r>
  </si>
  <si>
    <t>Длительность работ на местах, рабочих дней</t>
  </si>
  <si>
    <t>Общая длительность, недель</t>
  </si>
  <si>
    <r>
      <t>Число рабочих дней на кластер (</t>
    </r>
    <r>
      <rPr>
        <i/>
        <sz val="10"/>
        <rFont val="Arial"/>
        <family val="2"/>
      </rPr>
      <t>округленное</t>
    </r>
    <r>
      <rPr>
        <sz val="10"/>
        <rFont val="Arial"/>
        <family val="2"/>
      </rPr>
      <t>)</t>
    </r>
  </si>
  <si>
    <t>Число домохозяйств, опрошенных за день всеми командами</t>
  </si>
  <si>
    <t>Число домохозяйств, опрошенных за день одной командой</t>
  </si>
  <si>
    <t>Общее необходимое число рабочих дней</t>
  </si>
  <si>
    <r>
      <rPr>
        <vertAlign val="superscript"/>
        <sz val="8"/>
        <rFont val="Arial"/>
        <family val="2"/>
      </rPr>
      <t xml:space="preserve">1 </t>
    </r>
    <r>
      <rPr>
        <sz val="8"/>
        <rFont val="Arial"/>
        <family val="2"/>
      </rPr>
      <t xml:space="preserve">В среднем интервьюеры должны, работая в комфортном темпе, проводить опрос до 3–4 домашних хозяйств в день по всем вопросникам. Число здесь – чистое, то есть включает в себя повторные посещения домашних хозяйств. Попытки охватить за день большее число домашних хозяйств могут приводить к проблемам с качеством данных. </t>
    </r>
  </si>
  <si>
    <r>
      <t xml:space="preserve">2 </t>
    </r>
    <r>
      <rPr>
        <sz val="8"/>
        <rFont val="Arial"/>
        <family val="2"/>
      </rPr>
      <t xml:space="preserve">Число команд для работы на местах должно лежать в пределах управляемого (рекомендуется 5–20 команд); это дает возможность выполнять мероприятия наблюдения на местах и контроль качества. </t>
    </r>
  </si>
  <si>
    <r>
      <rPr>
        <vertAlign val="superscript"/>
        <sz val="8"/>
        <rFont val="Arial"/>
        <family val="2"/>
      </rPr>
      <t>3</t>
    </r>
    <r>
      <rPr>
        <sz val="8"/>
        <rFont val="Arial"/>
        <family val="2"/>
      </rPr>
      <t xml:space="preserve"> Рекомендуется, чтобы в ходе MICS в составе каждой команды для работы на местах были 4 интервьюера, а также 1 руководитель и 1 замерщик.</t>
    </r>
  </si>
  <si>
    <r>
      <rPr>
        <vertAlign val="superscript"/>
        <sz val="8"/>
        <rFont val="Arial"/>
        <family val="2"/>
      </rPr>
      <t>4</t>
    </r>
    <r>
      <rPr>
        <sz val="8"/>
        <rFont val="Arial"/>
        <family val="2"/>
      </rPr>
      <t xml:space="preserve"> Для MICS рекомендовано 15-25 домохозяйств на один кластер.</t>
    </r>
  </si>
  <si>
    <r>
      <rPr>
        <vertAlign val="superscript"/>
        <sz val="8"/>
        <rFont val="Arial"/>
        <family val="2"/>
      </rPr>
      <t>5</t>
    </r>
    <r>
      <rPr>
        <sz val="8"/>
        <rFont val="Arial"/>
        <family val="2"/>
      </rPr>
      <t xml:space="preserve"> Командам для работы на местах требуется один выходной еженедельно. Далее, один (чистый) день в неделю выделяется для разъездов исходя из того, что одна команда, как правило, работает с несколькими кластерами из географически меняющейся базы, совершая поездки до и от кластеров ежедневно и меняя базу примерно раз в неделю. Число дней для разъездов следует увеличить, если перемещения команды обычно совершаются по другим схемам, то есть в отсутствие таких баз. Это актуально при больших расстояниях между кластерами.</t>
    </r>
  </si>
  <si>
    <t>Шаблон для расчета общего количества команд и персонала, требуемого для проведения работ на местах и обучения</t>
  </si>
  <si>
    <t>В таблицу значений на входе (необходимы исходные данные о длительности работ на местах) введите значения из плана обследования MICS. Соответствующие оценки требуемого количества персонала для работы на местах и участников обучения отобразятся в таблице значений на выходе.</t>
  </si>
  <si>
    <t>ЗНАЧЕНИЯ НА ВХОДЕ ИЗ ТАБЛИЦЫ «Длительность работ на местах»</t>
  </si>
  <si>
    <t>ЗНАЧЕНИЯ НА ВЫХОДЕ ДЛЯ РАБОТ НА МЕСТАХ</t>
  </si>
  <si>
    <t>Число домохозяйств</t>
  </si>
  <si>
    <t>Число домохозяйств в кластере</t>
  </si>
  <si>
    <r>
      <t xml:space="preserve">Длительность работ на местах, недель
     </t>
    </r>
    <r>
      <rPr>
        <i/>
        <sz val="10"/>
        <rFont val="Arial"/>
        <family val="2"/>
      </rPr>
      <t xml:space="preserve">     1 неделя = 5 рабочих дней + 1 день отдыха и 1 день разъездов</t>
    </r>
    <r>
      <rPr>
        <vertAlign val="superscript"/>
        <sz val="10"/>
        <rFont val="Arial"/>
        <family val="2"/>
      </rPr>
      <t>6</t>
    </r>
  </si>
  <si>
    <t>Число домохозяйств, посещаемых за день одним 
интервьюером</t>
  </si>
  <si>
    <t xml:space="preserve">Число интервьюеров на одну команду </t>
  </si>
  <si>
    <t>Персонал центрального офиса</t>
  </si>
  <si>
    <r>
      <t>Редакторы для вторичного редактирования</t>
    </r>
    <r>
      <rPr>
        <vertAlign val="superscript"/>
        <sz val="10"/>
        <rFont val="Arial"/>
        <family val="2"/>
      </rPr>
      <t>7</t>
    </r>
  </si>
  <si>
    <r>
      <t>Наблюдатели</t>
    </r>
    <r>
      <rPr>
        <vertAlign val="superscript"/>
        <sz val="10"/>
        <rFont val="Arial"/>
        <family val="2"/>
      </rPr>
      <t>8</t>
    </r>
  </si>
  <si>
    <r>
      <rPr>
        <vertAlign val="superscript"/>
        <sz val="8"/>
        <rFont val="Arial"/>
        <family val="2"/>
      </rPr>
      <t>6</t>
    </r>
    <r>
      <rPr>
        <sz val="8"/>
        <rFont val="Arial"/>
        <family val="2"/>
      </rPr>
      <t xml:space="preserve"> Командам для работы на местах требуется один выходной еженедельно. Далее, один (чистый) день в неделю выделяется для разъездов исходя из того, что одна команда, как правило, работает с несколькими кластерами из географически меняющейся базы, совершая поездки до и от кластеров ежедневно и меняя базу примерно раз в неделю. Число дней для разъездов следует увеличить, если перемещения команды обычно совершаются по другим схемам, то есть в отсутствие таких баз. Это актуально при больших расстояниях между кластерами.</t>
    </r>
  </si>
  <si>
    <r>
      <rPr>
        <vertAlign val="superscript"/>
        <sz val="8"/>
        <rFont val="Arial"/>
        <family val="2"/>
      </rPr>
      <t xml:space="preserve">7 </t>
    </r>
    <r>
      <rPr>
        <sz val="8"/>
        <rFont val="Arial"/>
        <family val="2"/>
      </rPr>
      <t>Рекомендуется, чтобы в ходе MICS персонал по обработке данных также был ознакомлен с вопросниками в ходе основного обучения работе на местах. Редакторов для выполнения проверки второго уровня также следует включить в общее число участников основного обучения работе на местах.</t>
    </r>
  </si>
  <si>
    <r>
      <rPr>
        <vertAlign val="superscript"/>
        <sz val="8"/>
        <rFont val="Arial"/>
        <family val="2"/>
      </rPr>
      <t>8</t>
    </r>
    <r>
      <rPr>
        <sz val="8"/>
        <rFont val="Arial"/>
        <family val="2"/>
      </rPr>
      <t xml:space="preserve"> Состав наблюдательных(ой) команд(ы) должен определяться на этапе планирования обследования. Члены команды, не относящиеся к команде MICS ЮНИСЕФ/Национальной статистической службе, должны пройти первую часть обучения (методическую часть и, предпочтительно, полный цикл обучения). Для наблюдательных команд следует организовывать отдельное обучение. </t>
    </r>
  </si>
  <si>
    <t>Число кластеров</t>
  </si>
  <si>
    <t xml:space="preserve">Длительность работ на местах, рабочих дней </t>
  </si>
  <si>
    <t>Общее число опросов, проводимых за один день</t>
  </si>
  <si>
    <r>
      <t>Требуемое число команд для работы на местах</t>
    </r>
    <r>
      <rPr>
        <sz val="8"/>
        <rFont val="Arial"/>
        <family val="2"/>
      </rPr>
      <t xml:space="preserve"> (рассчитывается для проверки соответствия данным на входе из таблицы «Расчет длительности работ на местах»)</t>
    </r>
  </si>
  <si>
    <t>Требуемое количество персонала для работ на местах:</t>
  </si>
  <si>
    <t>Руководители</t>
  </si>
  <si>
    <t>Интервьюеры</t>
  </si>
  <si>
    <t>Замерщики</t>
  </si>
  <si>
    <t>Итого</t>
  </si>
  <si>
    <t>Общее число + 10 % сверх для отбора лучших/замены</t>
  </si>
  <si>
    <t>ЗНАЧЕНИЯ НА ВЫХОДЕ ДЛЯ ОБУЧЕНИЯ</t>
  </si>
  <si>
    <t>10 % сверх для отбора лучших/замены</t>
  </si>
  <si>
    <t>Редакторы для вторичного редактирования</t>
  </si>
  <si>
    <t>Персонал, осуществляющий мониторинг</t>
  </si>
  <si>
    <r>
      <t>Всего для обучения</t>
    </r>
    <r>
      <rPr>
        <b/>
        <vertAlign val="superscript"/>
        <sz val="10"/>
        <rFont val="Arial"/>
        <family val="2"/>
      </rPr>
      <t>9</t>
    </r>
    <r>
      <rPr>
        <b/>
        <sz val="10"/>
        <rFont val="Arial"/>
        <family val="2"/>
      </rPr>
      <t xml:space="preserve"> работам на местах</t>
    </r>
  </si>
  <si>
    <r>
      <t xml:space="preserve">Общая длительность работ на местах, дней </t>
    </r>
    <r>
      <rPr>
        <sz val="8"/>
        <rFont val="Arial"/>
        <family val="2"/>
      </rPr>
      <t>(</t>
    </r>
    <r>
      <rPr>
        <i/>
        <sz val="8"/>
        <rFont val="Arial"/>
        <family val="2"/>
      </rPr>
      <t>результат из таблицы «Длительность работ на местах»</t>
    </r>
    <r>
      <rPr>
        <sz val="8"/>
        <rFont val="Arial"/>
        <family val="2"/>
      </rPr>
      <t>)</t>
    </r>
  </si>
  <si>
    <t>Шаблон для расчета длительности составления списков и карт домохозяйств</t>
  </si>
  <si>
    <t>В таблицу значений на входе (необходимы исходные данные из динамической таблицы «Длительность работ на местах») введите значения из плана обследования MICS. Соответствующие оценки длительности составления списков и карт отобразятся в таблице значений на выходе.</t>
  </si>
  <si>
    <r>
      <t>Число кластеров, которое должно быть обработано одной командой по составлению списков за рабочий день</t>
    </r>
    <r>
      <rPr>
        <vertAlign val="superscript"/>
        <sz val="10"/>
        <rFont val="Arial"/>
        <family val="2"/>
      </rPr>
      <t>10</t>
    </r>
  </si>
  <si>
    <r>
      <t>Число команд по составлению списков</t>
    </r>
    <r>
      <rPr>
        <vertAlign val="superscript"/>
        <sz val="10"/>
        <rFont val="Arial"/>
        <family val="2"/>
      </rPr>
      <t>11</t>
    </r>
  </si>
  <si>
    <t>Дата начала работ по составлению списков и карт [дд.мм.гггг]</t>
  </si>
  <si>
    <r>
      <t>Общее необходимое число рабочих дней + 20%</t>
    </r>
    <r>
      <rPr>
        <vertAlign val="superscript"/>
        <sz val="10"/>
        <rFont val="Arial"/>
        <family val="2"/>
      </rPr>
      <t>12</t>
    </r>
  </si>
  <si>
    <t>Длительность работ по составлению списков и карт, рабочих дней</t>
  </si>
  <si>
    <r>
      <t>1 неделя = (6 рабочих дней + 1 день отдыха)</t>
    </r>
    <r>
      <rPr>
        <vertAlign val="superscript"/>
        <sz val="10"/>
        <rFont val="Arial"/>
        <family val="2"/>
      </rPr>
      <t>13</t>
    </r>
  </si>
  <si>
    <r>
      <rPr>
        <vertAlign val="superscript"/>
        <sz val="8"/>
        <rFont val="Arial"/>
        <family val="2"/>
      </rPr>
      <t xml:space="preserve">10 </t>
    </r>
    <r>
      <rPr>
        <sz val="8"/>
        <rFont val="Arial"/>
        <family val="2"/>
      </rPr>
      <t>В среднем ожидается, что один составитель списков и один картограф, работая в комфортном темпе, будут обрабатывать один кластер в день (при этом каждый из кластеров, как правило, состоит из 80–120 домохозяйств). Это должно быть возможно, даже если в ходе обследования дополнительно собирается информация о наличии детей в возрасте до 5 лет во внесенных в списки домохозяйствах (или аналогичную информацию, необходимую для дополнительной выборки), задаются дополнительные вопросы об особых группах населения, например, о рома, или если карты переписи отсутствуют или устарели. Попытки охватить за день больше одного кластера обычно успешны в городских кластерах, причем для их успеха необходимы новые карты или ортофото, а также большее внимание при составлении списков.</t>
    </r>
  </si>
  <si>
    <r>
      <t xml:space="preserve">11 </t>
    </r>
    <r>
      <rPr>
        <sz val="8"/>
        <rFont val="Arial"/>
        <family val="2"/>
      </rPr>
      <t>Число команд должно лежать в пределах управляемого; это дает возможность обеспечивать соответствующее обучение и наблюдение на местах. Рекомендуется максимум 3 команды на регион и не более 50 сотрудников.</t>
    </r>
  </si>
  <si>
    <r>
      <t>12</t>
    </r>
    <r>
      <rPr>
        <sz val="8"/>
        <rFont val="Arial"/>
        <family val="2"/>
      </rPr>
      <t xml:space="preserve"> Для команд, которые работают в крупных географических областях или отдаленных кластерах с длительной или сложной дорогой (долгим временем за рулем, необходимостью пеших переходов или пути по воде), необходимо подумать о выделении дополнительных дней в пути. Как бы то ни было, для любого обследования рекомендуется оставить эти 20% (дополнительные дни): на случай крупного размера кластеров, сегментации, плохих погодных условий, повторных посещений и т. п.</t>
    </r>
  </si>
  <si>
    <r>
      <t>13</t>
    </r>
    <r>
      <rPr>
        <sz val="8"/>
        <rFont val="Arial"/>
        <family val="2"/>
      </rPr>
      <t xml:space="preserve"> Командам по составлению списков и карт требуется один выходной в неделю.</t>
    </r>
  </si>
  <si>
    <t>Шаблон для расчета количества персонала, требуемого для составления списков и карт домохозяйств</t>
  </si>
  <si>
    <t xml:space="preserve">В таблицу значений на входе (необходимы исходные данные из динамической таблицы «Длит-ть составления списков») введите значения из плана обследования MICS. Соответствующие оценки требуемого количества персонала для составления списков и карт и участников обучения отобразятся в таблице значений на выходе. </t>
  </si>
  <si>
    <t>ЗНАЧЕНИЯ НА ВХОДЕ ИЗ ТАБЛИЦЫ «Длит-ть составления списков»</t>
  </si>
  <si>
    <t>Число команд по составлению списков</t>
  </si>
  <si>
    <t>Длительность, недель</t>
  </si>
  <si>
    <t xml:space="preserve">     1 неделя = 6 рабочих дней + 1 день отдыха</t>
  </si>
  <si>
    <r>
      <t>Редакторы списков</t>
    </r>
    <r>
      <rPr>
        <vertAlign val="superscript"/>
        <sz val="10"/>
        <rFont val="Arial"/>
        <family val="2"/>
      </rPr>
      <t>14</t>
    </r>
  </si>
  <si>
    <r>
      <t>Редакторы карт/Администраторы</t>
    </r>
    <r>
      <rPr>
        <vertAlign val="superscript"/>
        <sz val="10"/>
        <rFont val="Arial"/>
        <family val="2"/>
      </rPr>
      <t>15</t>
    </r>
  </si>
  <si>
    <r>
      <rPr>
        <vertAlign val="superscript"/>
        <sz val="8"/>
        <rFont val="Arial"/>
        <family val="2"/>
      </rPr>
      <t>14</t>
    </r>
    <r>
      <rPr>
        <sz val="8"/>
        <rFont val="Arial"/>
        <family val="2"/>
      </rPr>
      <t xml:space="preserve"> Редакторы списков заведуют повседневным редактированием данных по спискам, полученных с мест, и передают результаты команде по управлению обследованием.</t>
    </r>
  </si>
  <si>
    <r>
      <rPr>
        <vertAlign val="superscript"/>
        <sz val="8"/>
        <rFont val="Arial"/>
        <family val="2"/>
      </rPr>
      <t xml:space="preserve">15 </t>
    </r>
    <r>
      <rPr>
        <sz val="8"/>
        <rFont val="Arial"/>
        <family val="2"/>
      </rPr>
      <t>Аналогичным образом редакторы карт или администраторы заведуют картами, полученными с мест, и компонуют эти карты.</t>
    </r>
  </si>
  <si>
    <r>
      <rPr>
        <vertAlign val="superscript"/>
        <sz val="8"/>
        <rFont val="Arial"/>
        <family val="2"/>
      </rPr>
      <t xml:space="preserve">16 </t>
    </r>
    <r>
      <rPr>
        <sz val="8"/>
        <rFont val="Arial"/>
        <family val="2"/>
      </rPr>
      <t>Ожидается, что руководитель будет руководить работой 3 команд.</t>
    </r>
  </si>
  <si>
    <r>
      <rPr>
        <vertAlign val="superscript"/>
        <sz val="8"/>
        <rFont val="Arial"/>
        <family val="2"/>
      </rPr>
      <t xml:space="preserve">17 </t>
    </r>
    <r>
      <rPr>
        <sz val="8"/>
        <rFont val="Arial"/>
        <family val="2"/>
      </rPr>
      <t>В зависимости от опыта выбытия и имеющихся возможностей численность дополнительных обучающихся можно увеличить; но сокращать ее нельзя.</t>
    </r>
  </si>
  <si>
    <t>Составители списков</t>
  </si>
  <si>
    <t>Картографы</t>
  </si>
  <si>
    <r>
      <t>10 %</t>
    </r>
    <r>
      <rPr>
        <vertAlign val="superscript"/>
        <sz val="10"/>
        <rFont val="Arial"/>
        <family val="2"/>
      </rPr>
      <t>17</t>
    </r>
    <r>
      <rPr>
        <i/>
        <sz val="10"/>
        <rFont val="Arial"/>
        <family val="2"/>
      </rPr>
      <t xml:space="preserve"> сверх для отбора лучших/замены</t>
    </r>
  </si>
  <si>
    <t>Редакторы списков</t>
  </si>
  <si>
    <t>Редакторы карт/Администраторы</t>
  </si>
  <si>
    <r>
      <t>Всего для обучения</t>
    </r>
    <r>
      <rPr>
        <b/>
        <vertAlign val="superscript"/>
        <sz val="10"/>
        <rFont val="Arial"/>
        <family val="2"/>
      </rPr>
      <t>18</t>
    </r>
    <r>
      <rPr>
        <b/>
        <sz val="10"/>
        <rFont val="Arial"/>
        <family val="2"/>
      </rPr>
      <t xml:space="preserve"> работам по составлению списков и карт</t>
    </r>
  </si>
  <si>
    <t>Шаблон для расчета потребности в предметах снабжения</t>
  </si>
  <si>
    <t>Ввод значений не требуется.</t>
  </si>
  <si>
    <r>
      <t>Ростомеры</t>
    </r>
    <r>
      <rPr>
        <vertAlign val="superscript"/>
        <sz val="10"/>
        <rFont val="Arial"/>
        <family val="2"/>
        <charset val="204"/>
      </rPr>
      <t>19</t>
    </r>
  </si>
  <si>
    <r>
      <t>Весы</t>
    </r>
    <r>
      <rPr>
        <vertAlign val="superscript"/>
        <sz val="10"/>
        <rFont val="Arial"/>
        <family val="2"/>
      </rPr>
      <t>19</t>
    </r>
  </si>
  <si>
    <r>
      <t xml:space="preserve">ЗНАЧЕНИЯ НА ВЫХОДЕ - </t>
    </r>
    <r>
      <rPr>
        <i/>
        <sz val="10"/>
        <rFont val="Arial"/>
        <family val="2"/>
      </rPr>
      <t>Дополнительные предметы снабжения</t>
    </r>
  </si>
  <si>
    <t>Устройства GPS - см. дополнительный лист</t>
  </si>
  <si>
    <r>
      <t>Оборудование для анализа качества воды</t>
    </r>
    <r>
      <rPr>
        <u/>
        <vertAlign val="superscript"/>
        <sz val="10"/>
        <rFont val="Arial"/>
        <family val="2"/>
      </rPr>
      <t>21</t>
    </r>
    <r>
      <rPr>
        <u/>
        <sz val="10"/>
        <rFont val="Arial"/>
        <family val="2"/>
      </rPr>
      <t xml:space="preserve"> - cм. дополнительный лист.</t>
    </r>
  </si>
  <si>
    <r>
      <rPr>
        <vertAlign val="superscript"/>
        <sz val="8"/>
        <rFont val="Arial"/>
        <family val="2"/>
      </rPr>
      <t>19</t>
    </r>
    <r>
      <rPr>
        <sz val="8"/>
        <rFont val="Arial"/>
        <family val="2"/>
      </rPr>
      <t xml:space="preserve"> Число ростомеров и весов рассчитывается как 2 шт. на команду (один предмет – запасной). Если у команды есть доступ к центральному пункту для легкой замены предметов, число резервных предметов можно сократить. Кроме того, для антропометрических измерений и ухода за оборудованием рекомендуется использовать антисептик для рук (минимум 10 бутылок на команду) и мягкое моющее средство (количество можно рассчитать после определения общего количества детей, для которых требуется провести измерения).</t>
    </r>
  </si>
  <si>
    <r>
      <rPr>
        <vertAlign val="superscript"/>
        <sz val="8"/>
        <rFont val="Arial"/>
        <family val="2"/>
      </rPr>
      <t>20</t>
    </r>
    <r>
      <rPr>
        <sz val="8"/>
        <rFont val="Arial"/>
        <family val="2"/>
      </rPr>
      <t xml:space="preserve"> Один планшет на одного руководителя, интервьюера плюс один дополнительный на команду. Один дополнительный (запасной) планшет на команду рекомендуется иметь, если количество интервьюеров на команду превышает 4. Это число включает в себя 5 дополнительных планшетов для руководителей обследования и для наблюдателей.</t>
    </r>
  </si>
  <si>
    <r>
      <rPr>
        <vertAlign val="superscript"/>
        <sz val="8"/>
        <rFont val="Arial"/>
        <family val="2"/>
      </rPr>
      <t>21</t>
    </r>
    <r>
      <rPr>
        <sz val="8"/>
        <rFont val="Arial"/>
        <family val="2"/>
      </rPr>
      <t xml:space="preserve"> См. подробную информацию на дополнительном листе. </t>
    </r>
  </si>
  <si>
    <r>
      <rPr>
        <vertAlign val="superscript"/>
        <sz val="8"/>
        <rFont val="Arial"/>
        <family val="2"/>
      </rPr>
      <t>22</t>
    </r>
    <r>
      <rPr>
        <sz val="8"/>
        <rFont val="Arial"/>
        <family val="2"/>
      </rPr>
      <t xml:space="preserve"> Один планшет на составителя списков. Это количество включает в себя 10% от общего количества запасных планшетов. В случае составления списков на основании опросов CAPI. В зависимости от планирования деятельности по составлению списков и даты начала основного обучения, дополнительное оборудование для составления списков не требуется. </t>
    </r>
  </si>
  <si>
    <t>Шаблон для расчета числа принадлежностей для планшетов</t>
  </si>
  <si>
    <t>Ввод входных значений не требуется</t>
  </si>
  <si>
    <t>Планшетные ПК</t>
  </si>
  <si>
    <t>Чехлы для планшетных ПК</t>
  </si>
  <si>
    <t>Защита для экранов планшетных ПК</t>
  </si>
  <si>
    <t>Карты памяти</t>
  </si>
  <si>
    <r>
      <t>Резервные источники питания/автономные зарядные устройства</t>
    </r>
    <r>
      <rPr>
        <vertAlign val="superscript"/>
        <sz val="10"/>
        <rFont val="Arial"/>
        <family val="2"/>
      </rPr>
      <t>23</t>
    </r>
  </si>
  <si>
    <r>
      <t>Стилусы</t>
    </r>
    <r>
      <rPr>
        <vertAlign val="superscript"/>
        <sz val="10"/>
        <rFont val="Arial"/>
        <family val="2"/>
      </rPr>
      <t>24</t>
    </r>
  </si>
  <si>
    <r>
      <t>Автомобильные зарядные устройства</t>
    </r>
    <r>
      <rPr>
        <vertAlign val="superscript"/>
        <sz val="10"/>
        <rFont val="Arial"/>
        <family val="2"/>
      </rPr>
      <t>25</t>
    </r>
  </si>
  <si>
    <r>
      <rPr>
        <vertAlign val="superscript"/>
        <sz val="8"/>
        <rFont val="Arial"/>
        <family val="2"/>
      </rPr>
      <t xml:space="preserve">23 </t>
    </r>
    <r>
      <rPr>
        <sz val="8"/>
        <rFont val="Arial"/>
        <family val="2"/>
      </rPr>
      <t>По два на команду - одного должно хватать для полной зарядки двух планшетов.</t>
    </r>
  </si>
  <si>
    <r>
      <rPr>
        <vertAlign val="superscript"/>
        <sz val="8"/>
        <rFont val="Arial"/>
        <family val="2"/>
      </rPr>
      <t xml:space="preserve">24 </t>
    </r>
    <r>
      <rPr>
        <sz val="8"/>
        <rFont val="Arial"/>
        <family val="2"/>
      </rPr>
      <t>По одному на каждый планшет + по два дополнительных на команду. Внимание: некоторые планшеты бывают уже укомплектованы стилусом.</t>
    </r>
  </si>
  <si>
    <r>
      <rPr>
        <vertAlign val="superscript"/>
        <sz val="8"/>
        <rFont val="Arial"/>
        <family val="2"/>
      </rPr>
      <t xml:space="preserve">25 </t>
    </r>
    <r>
      <rPr>
        <sz val="8"/>
        <rFont val="Arial"/>
        <family val="2"/>
      </rPr>
      <t>По одному на команду.</t>
    </r>
  </si>
  <si>
    <t>Шаблон для расчета расходных материалов для изучения дополнительных тем</t>
  </si>
  <si>
    <t>Значения не указываются</t>
  </si>
  <si>
    <r>
      <t xml:space="preserve">ЗНАЧЕНИЯ НА ВЫХОДЕ </t>
    </r>
    <r>
      <rPr>
        <i/>
        <sz val="10"/>
        <rFont val="Arial"/>
        <family val="2"/>
      </rPr>
      <t>для составления списков в рамках CAPI</t>
    </r>
    <r>
      <rPr>
        <vertAlign val="superscript"/>
        <sz val="10"/>
        <rFont val="Arial"/>
        <family val="2"/>
      </rPr>
      <t>26</t>
    </r>
  </si>
  <si>
    <t>Карты памяти SD</t>
  </si>
  <si>
    <r>
      <t xml:space="preserve">Резервные источники питания/автономные зарядные устройства </t>
    </r>
    <r>
      <rPr>
        <vertAlign val="superscript"/>
        <sz val="10"/>
        <rFont val="Arial"/>
        <family val="2"/>
      </rPr>
      <t>27</t>
    </r>
  </si>
  <si>
    <r>
      <t>Стилус</t>
    </r>
    <r>
      <rPr>
        <vertAlign val="superscript"/>
        <sz val="10"/>
        <rFont val="Arial"/>
        <family val="2"/>
      </rPr>
      <t>28</t>
    </r>
  </si>
  <si>
    <r>
      <t>Автомобильные зарядные устройства</t>
    </r>
    <r>
      <rPr>
        <vertAlign val="superscript"/>
        <sz val="10"/>
        <rFont val="Arial"/>
        <family val="2"/>
      </rPr>
      <t>29</t>
    </r>
  </si>
  <si>
    <r>
      <rPr>
        <vertAlign val="superscript"/>
        <sz val="8"/>
        <rFont val="Arial"/>
        <family val="2"/>
      </rPr>
      <t>26</t>
    </r>
    <r>
      <rPr>
        <sz val="8"/>
        <rFont val="Arial"/>
        <family val="2"/>
      </rPr>
      <t xml:space="preserve"> В случае составления списков на основании опросов CAPI. В зависимости от планирования деятельности по составлению списков и даты начала основного обучения, дополнительное оборудование для составления списков не требуется. Один планшет на составителя списков. Это количество включает в себя 10% от общего количества запасных планшетов. Для стран, где будут использоваться цифровые графики, необходимо согласовать потребности в оборудовании с отделом обработки данных.</t>
    </r>
  </si>
  <si>
    <r>
      <rPr>
        <vertAlign val="superscript"/>
        <sz val="8"/>
        <rFont val="Arial"/>
        <family val="2"/>
      </rPr>
      <t xml:space="preserve">27 </t>
    </r>
    <r>
      <rPr>
        <sz val="8"/>
        <rFont val="Arial"/>
        <family val="2"/>
      </rPr>
      <t>По два на команду - одного должно хватать для полной зарядки двух планшетов.</t>
    </r>
  </si>
  <si>
    <r>
      <rPr>
        <vertAlign val="superscript"/>
        <sz val="8"/>
        <rFont val="Arial"/>
        <family val="2"/>
      </rPr>
      <t xml:space="preserve">28 </t>
    </r>
    <r>
      <rPr>
        <sz val="8"/>
        <rFont val="Arial"/>
        <family val="2"/>
      </rPr>
      <t>По одному на каждый планшет + по два дополнительных на команду. Внимание: некоторые планшеты бывают уже укомплектованы стилусом.</t>
    </r>
  </si>
  <si>
    <r>
      <rPr>
        <vertAlign val="superscript"/>
        <sz val="8"/>
        <rFont val="Arial"/>
        <family val="2"/>
      </rPr>
      <t xml:space="preserve">29 </t>
    </r>
    <r>
      <rPr>
        <sz val="8"/>
        <rFont val="Arial"/>
        <family val="2"/>
      </rPr>
      <t>По одному на команду.</t>
    </r>
  </si>
  <si>
    <r>
      <t xml:space="preserve">ЗНАЧЕНИЯ </t>
    </r>
    <r>
      <rPr>
        <i/>
        <sz val="10"/>
        <rFont val="Arial"/>
        <family val="2"/>
      </rPr>
      <t>ГЕОИНФОРМАЦИОННОЙ СИСТЕМЫ</t>
    </r>
    <r>
      <rPr>
        <sz val="10"/>
        <rFont val="Arial"/>
        <family val="2"/>
        <charset val="204"/>
      </rPr>
      <t xml:space="preserve"> НА ВЫХОДЕ</t>
    </r>
  </si>
  <si>
    <r>
      <t>GPS-приемник (устройство Garming)</t>
    </r>
    <r>
      <rPr>
        <vertAlign val="superscript"/>
        <sz val="10"/>
        <color rgb="FF000000"/>
        <rFont val="Arial"/>
        <family val="2"/>
        <charset val="204"/>
      </rPr>
      <t>30</t>
    </r>
  </si>
  <si>
    <t>(1 на команду + два (2) запасных)</t>
  </si>
  <si>
    <t>Комплект из восьми (8) батарей типа AA (щелочных) для каждого GPS-устройства</t>
  </si>
  <si>
    <r>
      <t xml:space="preserve">Один (1) стандартный кабель USB - Micro-USB на каждое GPS-устройство для загрузки данных с приемников </t>
    </r>
    <r>
      <rPr>
        <vertAlign val="superscript"/>
        <sz val="10"/>
        <color rgb="FF000000"/>
        <rFont val="Arial"/>
        <family val="2"/>
        <charset val="204"/>
      </rPr>
      <t>31</t>
    </r>
  </si>
  <si>
    <t xml:space="preserve">Одна (1) карта памяти MicroSD на каждое GPS-устройство (дополнительно) </t>
  </si>
  <si>
    <r>
      <rPr>
        <vertAlign val="superscript"/>
        <sz val="8"/>
        <color rgb="FF000000"/>
        <rFont val="Arial"/>
        <family val="2"/>
        <charset val="204"/>
      </rPr>
      <t>30</t>
    </r>
    <r>
      <rPr>
        <sz val="8"/>
        <color rgb="FF000000"/>
        <rFont val="Arial"/>
        <family val="2"/>
        <charset val="204"/>
      </rPr>
      <t xml:space="preserve"> Валидация существующих GPS-данных может осуществляться и без использования автономных устройств. Различные варианты и рекомендации приведены в Инструкции по снабжению MICS7, размещенной по адресу: http://mics.unicef.org/tools#survey-design</t>
    </r>
  </si>
  <si>
    <r>
      <rPr>
        <vertAlign val="superscript"/>
        <sz val="8"/>
        <color rgb="FF000000"/>
        <rFont val="Arial"/>
        <family val="2"/>
        <charset val="204"/>
      </rPr>
      <t>31</t>
    </r>
    <r>
      <rPr>
        <sz val="8"/>
        <color rgb="FF000000"/>
        <rFont val="Arial"/>
        <family val="2"/>
        <charset val="204"/>
      </rPr>
      <t xml:space="preserve"> Обычно кабель поставляется в комплекте с GPS-приемником</t>
    </r>
  </si>
  <si>
    <t>Шаблон для расчета потребности в предметах снабжения для анализа качества воды</t>
  </si>
  <si>
    <t>В таблицу значений на входе (необходимы дополнительные исходные данные из динамической таблицы «Длительность работ на местах») введите значения из плана обследования MICS. Также подтвердите выделенные красным значения из таблицы значений на выходе. Соответствующие оценки предметов снабжения для анализа качества воды отобразятся в таблице значений на выходе.</t>
  </si>
  <si>
    <t>Число команд для работы на местах</t>
  </si>
  <si>
    <t>Число образцов качества воды в домохозяйствах на один кластер</t>
  </si>
  <si>
    <t>Число образцов качества воды из источника на один кластер</t>
  </si>
  <si>
    <t>Число контрольных анализов на один кластер</t>
  </si>
  <si>
    <t>Дополнительное оборудование или аппаратное обеспечение</t>
  </si>
  <si>
    <t>Дополнительно для расходных материалов</t>
  </si>
  <si>
    <t>(если планируется дополнительное обучение инструкторов, свяжитесь управлением по вопросам водоснабжения, санитарии и гигиены (WASH))</t>
  </si>
  <si>
    <t>Дополнительно для дополнительных предметов</t>
  </si>
  <si>
    <t>Общее 
количество</t>
  </si>
  <si>
    <t>Единиц на 
команду</t>
  </si>
  <si>
    <r>
      <t>Стоимость/
упаковка</t>
    </r>
    <r>
      <rPr>
        <vertAlign val="superscript"/>
        <sz val="10"/>
        <rFont val="Arial"/>
        <family val="2"/>
        <charset val="204"/>
      </rPr>
      <t>32</t>
    </r>
  </si>
  <si>
    <t>Единица/
упаковка</t>
  </si>
  <si>
    <t>Необходимое 
количество 
упаковок</t>
  </si>
  <si>
    <t>Оборудование</t>
  </si>
  <si>
    <t>- Для замены к общему количеству добавляются дополнительные 10%.</t>
  </si>
  <si>
    <t>Аппарат мембранной фильтрации</t>
  </si>
  <si>
    <t>Инкубационные ремни</t>
  </si>
  <si>
    <r>
      <rPr>
        <sz val="10"/>
        <color indexed="8"/>
        <rFont val="Arial"/>
        <family val="2"/>
      </rPr>
      <t>Шприцы, 100 мл</t>
    </r>
  </si>
  <si>
    <t>Металлические щипцы</t>
  </si>
  <si>
    <t>Итого оборудования</t>
  </si>
  <si>
    <t>Расходные материалы</t>
  </si>
  <si>
    <t>- Для обучения и на случай потерь к общему количеству добавляются дополнительные 25%.</t>
  </si>
  <si>
    <t>Ультрамикропористый мембранный фильтр и емкость фильтра</t>
  </si>
  <si>
    <t>Пластины Compact Dry ECO производства компании Nissui</t>
  </si>
  <si>
    <r>
      <rPr>
        <sz val="10"/>
        <color indexed="8"/>
        <rFont val="Arial"/>
        <family val="2"/>
      </rPr>
      <t>Спиртовые салфетки</t>
    </r>
  </si>
  <si>
    <t>Сумки для сбора образцов WhirlPak</t>
  </si>
  <si>
    <t>Хлорные таблетки 8,5 мг</t>
  </si>
  <si>
    <t>Итого расходных материалов</t>
  </si>
  <si>
    <t>Одноразовые шприцы (1 мл)</t>
  </si>
  <si>
    <r>
      <rPr>
        <vertAlign val="superscript"/>
        <sz val="8"/>
        <rFont val="Arial"/>
        <family val="2"/>
      </rPr>
      <t xml:space="preserve">32 </t>
    </r>
    <r>
      <rPr>
        <sz val="8"/>
        <rFont val="Arial"/>
        <family val="2"/>
      </rPr>
      <t>Внимание: значения стоимости за упаковку следует обновить для получения более точной оценки. Учитывая колебания курсов евро/доллара США, они могут значительно меняться. Текущую цену можно узнать в каталоге поставок ЮНИСЕФ, используя артикулы, указанные в Инструкциях по снабжению для MICS7, по адресу http://mics.unicef.org/tools#survey-design.</t>
    </r>
  </si>
  <si>
    <t>Итого (долл. США):</t>
  </si>
  <si>
    <r>
      <t>Стоимость/
упаковка</t>
    </r>
    <r>
      <rPr>
        <vertAlign val="superscript"/>
        <sz val="10"/>
        <rFont val="Arial"/>
        <family val="2"/>
        <charset val="204"/>
      </rPr>
      <t>33</t>
    </r>
  </si>
  <si>
    <t>Дополнительные предметы</t>
  </si>
  <si>
    <t>- к общему количеству прибавляются дополнительные 10% на обучение и потери от износа</t>
  </si>
  <si>
    <t>Антисептик для рук (5/команда)</t>
  </si>
  <si>
    <t>Пакеты для мусора (1/кластер)</t>
  </si>
  <si>
    <t>Перманентный маркер (3/команда)</t>
  </si>
  <si>
    <t>Сумка для анализа качества воды (1/команда)</t>
  </si>
  <si>
    <t>Бумажные кухонные полотенца (12/команда)</t>
  </si>
  <si>
    <t>Бутилированная вода для контрольных проб (1/кластер)</t>
  </si>
  <si>
    <t>Сумки для хранения материалов в автомобиле (2/команда)</t>
  </si>
  <si>
    <t>Самозакрывающиеся пакеты типа Ziploc (5/команда)</t>
  </si>
  <si>
    <t>Итого дополнительных предметов</t>
  </si>
  <si>
    <r>
      <t xml:space="preserve">Грузовые перевозки </t>
    </r>
    <r>
      <rPr>
        <sz val="10"/>
        <rFont val="Arial"/>
        <family val="2"/>
        <charset val="204"/>
      </rPr>
      <t>(10%)</t>
    </r>
  </si>
  <si>
    <r>
      <t xml:space="preserve">Грузовые перевозки </t>
    </r>
    <r>
      <rPr>
        <sz val="10"/>
        <rFont val="Arial"/>
        <family val="2"/>
      </rPr>
      <t>(10%)</t>
    </r>
  </si>
  <si>
    <r>
      <rPr>
        <vertAlign val="superscript"/>
        <sz val="8"/>
        <rFont val="Arial"/>
        <family val="2"/>
      </rPr>
      <t xml:space="preserve">33 </t>
    </r>
    <r>
      <rPr>
        <sz val="8"/>
        <rFont val="Arial"/>
        <family val="2"/>
      </rPr>
      <t xml:space="preserve">Внимание: значения стоимости за упаковку следует обновить для получения более точной оценки. Учитывая колебания курсов евро/доллара США, они могут значительно меняться. Большая часть дополнительного оборудования закупается у местных поставщиков, при этом по необходимости в отделе снабжения можно получить специальные сумки с логотипом ЮНИСЕФ (сумки для анализа качества воды и сумки для хранения материалов) и использовать такие сумки. Как правило, выездные команды могут использовать стандартные сумки для оборудования для анализа качества воды. </t>
    </r>
  </si>
  <si>
    <t>ОБЩИЙ ИТОГ</t>
  </si>
  <si>
    <t>кажд.</t>
  </si>
  <si>
    <t>на 1 коробку</t>
  </si>
  <si>
    <t>бутылка 250 мл</t>
  </si>
  <si>
    <t>рулон</t>
  </si>
  <si>
    <t>упаковка</t>
  </si>
  <si>
    <t>сумка</t>
  </si>
  <si>
    <t>рулон 100 шт.</t>
  </si>
  <si>
    <r>
      <t>Планшетные ПК</t>
    </r>
    <r>
      <rPr>
        <u/>
        <vertAlign val="superscript"/>
        <sz val="10"/>
        <rFont val="Arial"/>
        <family val="2"/>
      </rPr>
      <t>20</t>
    </r>
    <r>
      <rPr>
        <u/>
        <sz val="10"/>
        <rFont val="Arial"/>
        <family val="2"/>
        <charset val="204"/>
      </rPr>
      <t xml:space="preserve"> - cм. дополнительный лист.</t>
    </r>
  </si>
  <si>
    <r>
      <t>Планшетные ПК для оставления списков</t>
    </r>
    <r>
      <rPr>
        <u/>
        <vertAlign val="superscript"/>
        <sz val="10"/>
        <rFont val="Arial"/>
        <family val="2"/>
      </rPr>
      <t>22</t>
    </r>
    <r>
      <rPr>
        <u/>
        <sz val="10"/>
        <rFont val="Arial"/>
        <family val="2"/>
        <charset val="204"/>
      </rPr>
      <t xml:space="preserve"> - см. дополнительный лист</t>
    </r>
  </si>
  <si>
    <r>
      <t>Общее число + 10 %</t>
    </r>
    <r>
      <rPr>
        <i/>
        <vertAlign val="superscript"/>
        <sz val="10"/>
        <rFont val="Arial"/>
        <family val="2"/>
      </rPr>
      <t>17</t>
    </r>
    <r>
      <rPr>
        <i/>
        <sz val="10"/>
        <rFont val="Arial"/>
        <family val="2"/>
      </rPr>
      <t xml:space="preserve"> сверх для отбора лучших/замены</t>
    </r>
  </si>
  <si>
    <r>
      <t>Руководители</t>
    </r>
    <r>
      <rPr>
        <vertAlign val="superscript"/>
        <sz val="10"/>
        <rFont val="Arial"/>
        <family val="2"/>
      </rPr>
      <t>16</t>
    </r>
  </si>
  <si>
    <t>Всего</t>
  </si>
  <si>
    <r>
      <rPr>
        <vertAlign val="superscript"/>
        <sz val="8"/>
        <rFont val="Arial"/>
        <family val="2"/>
      </rPr>
      <t>18</t>
    </r>
    <r>
      <rPr>
        <sz val="8"/>
        <rFont val="Arial"/>
        <family val="2"/>
      </rPr>
      <t xml:space="preserve"> В число учебных помещений следует включить 1 большое помещение для занятий в полном составе и 2 классные комнаты меньшего размера для занятий в меньшем составе для составителей списков и картографов.</t>
    </r>
  </si>
  <si>
    <r>
      <rPr>
        <vertAlign val="superscript"/>
        <sz val="8"/>
        <rFont val="Arial"/>
        <family val="2"/>
      </rPr>
      <t>9</t>
    </r>
    <r>
      <rPr>
        <sz val="8"/>
        <rFont val="Arial"/>
        <family val="2"/>
      </rPr>
      <t xml:space="preserve"> В число учебных помещений следует включить 1 большое помещение для занятий в полном составе и классные комнаты меньшего размера для интерактивных занятий в меньшем составе, из расчета 30–40 участников на одно помещение, если возможности и число преподавателей позволяют проводить одновременные занятия. Увеличение числа обучаемых на одно помещение может снижать качество обучения. Необходимо предусмотреть отдельное помещение для обучения специалистов по антропометрическим измерениям, с учетом пространства, необходимого для размещения оборудования, и количества измерений.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</si>
</sst>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_(&quot;$&quot;* \(#,##0.00\);_(&quot;$&quot;* &quot;-&quot;??_);_(@_)"/>
    <numFmt numFmtId="165" formatCode="_(* #,##0.00_);_(* \(#,##0.00\);_(* &quot;-&quot;??_);_(@_)"/>
    <numFmt numFmtId="166" formatCode="_-&quot;$&quot;* #,##0.00_-;\-&quot;$&quot;* #,##0.00_-;_-&quot;$&quot;* &quot;-&quot;??_-;_-@_-"/>
    <numFmt numFmtId="167" formatCode="_(* #,##0_);_(* \(#,##0\);_(* &quot;-&quot;??_);_(@_)"/>
    <numFmt numFmtId="168" formatCode="#,##0.0"/>
    <numFmt numFmtId="169" formatCode="[$-409]d/mmm/yyyy;@"/>
  </numFmts>
  <fonts count="36"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i/>
      <sz val="10"/>
      <name val="Arial"/>
      <family val="2"/>
    </font>
    <font>
      <vertAlign val="superscript"/>
      <sz val="10"/>
      <name val="Arial"/>
      <family val="2"/>
    </font>
    <font>
      <sz val="8"/>
      <name val="Arial"/>
      <family val="2"/>
    </font>
    <font>
      <vertAlign val="superscript"/>
      <sz val="8"/>
      <name val="Arial"/>
      <family val="2"/>
    </font>
    <font>
      <b/>
      <i/>
      <sz val="10"/>
      <name val="Arial"/>
      <family val="2"/>
    </font>
    <font>
      <b/>
      <sz val="12"/>
      <name val="Arial"/>
      <family val="2"/>
    </font>
    <font>
      <i/>
      <sz val="8"/>
      <name val="Arial"/>
      <family val="2"/>
    </font>
    <font>
      <i/>
      <vertAlign val="superscript"/>
      <sz val="10"/>
      <name val="Arial"/>
      <family val="2"/>
    </font>
    <font>
      <i/>
      <sz val="8"/>
      <name val="Arial"/>
      <family val="2"/>
      <charset val="238"/>
    </font>
    <font>
      <sz val="10"/>
      <name val="Arial"/>
      <family val="2"/>
      <charset val="238"/>
    </font>
    <font>
      <sz val="10"/>
      <color rgb="FFFF0000"/>
      <name val="Arial"/>
      <family val="2"/>
    </font>
    <font>
      <sz val="10"/>
      <name val="Arial"/>
      <family val="2"/>
      <charset val="204"/>
    </font>
    <font>
      <i/>
      <sz val="10"/>
      <name val="Arial"/>
      <family val="2"/>
      <charset val="204"/>
    </font>
    <font>
      <b/>
      <sz val="10"/>
      <name val="Arial"/>
      <family val="2"/>
      <charset val="204"/>
    </font>
    <font>
      <sz val="10"/>
      <color rgb="FFFF0000"/>
      <name val="Arial"/>
      <family val="2"/>
      <charset val="204"/>
    </font>
    <font>
      <vertAlign val="superscript"/>
      <sz val="10"/>
      <name val="Arial"/>
      <family val="2"/>
      <charset val="204"/>
    </font>
    <font>
      <sz val="8"/>
      <name val="Arial"/>
      <family val="2"/>
      <charset val="204"/>
    </font>
    <font>
      <u/>
      <sz val="10"/>
      <color theme="10"/>
      <name val="Arial"/>
      <family val="2"/>
      <charset val="204"/>
    </font>
    <font>
      <sz val="8"/>
      <color rgb="FFFF0000"/>
      <name val="Arial"/>
      <family val="2"/>
    </font>
    <font>
      <u/>
      <sz val="10"/>
      <name val="Arial"/>
      <family val="2"/>
    </font>
    <font>
      <u/>
      <vertAlign val="superscript"/>
      <sz val="10"/>
      <name val="Arial"/>
      <family val="2"/>
    </font>
    <font>
      <i/>
      <sz val="10"/>
      <color rgb="FFFF0000"/>
      <name val="Arial"/>
      <family val="2"/>
      <charset val="204"/>
    </font>
    <font>
      <sz val="10"/>
      <color rgb="FF000000"/>
      <name val="Arial"/>
      <family val="2"/>
      <charset val="204"/>
    </font>
    <font>
      <vertAlign val="superscript"/>
      <sz val="10"/>
      <color rgb="FF000000"/>
      <name val="Arial"/>
      <family val="2"/>
      <charset val="204"/>
    </font>
    <font>
      <vertAlign val="superscript"/>
      <sz val="8"/>
      <color rgb="FF000000"/>
      <name val="Arial"/>
      <family val="2"/>
      <charset val="204"/>
    </font>
    <font>
      <sz val="8"/>
      <color rgb="FF000000"/>
      <name val="Arial"/>
      <family val="2"/>
      <charset val="204"/>
    </font>
    <font>
      <u/>
      <sz val="10"/>
      <name val="Arial"/>
      <family val="2"/>
      <charset val="204"/>
    </font>
    <font>
      <sz val="10"/>
      <color theme="1"/>
      <name val="Arial"/>
      <family val="2"/>
    </font>
    <font>
      <b/>
      <vertAlign val="superscript"/>
      <sz val="10"/>
      <name val="Arial"/>
      <family val="2"/>
    </font>
    <font>
      <sz val="10"/>
      <color indexed="8"/>
      <name val="Arial"/>
      <family val="2"/>
    </font>
    <font>
      <sz val="10"/>
      <name val="Calibri"/>
      <family val="2"/>
      <scheme val="minor"/>
    </font>
  </fonts>
  <fills count="8">
    <fill>
      <patternFill patternType="none"/>
    </fill>
    <fill>
      <patternFill patternType="gray125"/>
    </fill>
    <fill>
      <patternFill patternType="solid">
        <fgColor theme="9" tint="0.39997558519241921"/>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2" tint="-9.9948118533890809E-2"/>
        <bgColor indexed="64"/>
      </patternFill>
    </fill>
    <fill>
      <patternFill patternType="solid">
        <fgColor theme="9" tint="0.59999389629810485"/>
        <bgColor indexed="64"/>
      </patternFill>
    </fill>
    <fill>
      <patternFill patternType="solid">
        <fgColor theme="9" tint="0.79998168889431442"/>
        <bgColor indexed="64"/>
      </patternFill>
    </fill>
  </fills>
  <borders count="24">
    <border>
      <left/>
      <right/>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right/>
      <top style="thin">
        <color auto="1"/>
      </top>
      <bottom/>
      <diagonal/>
    </border>
    <border>
      <left/>
      <right/>
      <top/>
      <bottom style="thin">
        <color auto="1"/>
      </bottom>
      <diagonal/>
    </border>
    <border>
      <left/>
      <right style="medium">
        <color auto="1"/>
      </right>
      <top style="medium">
        <color auto="1"/>
      </top>
      <bottom/>
      <diagonal/>
    </border>
    <border>
      <left style="medium">
        <color auto="1"/>
      </left>
      <right/>
      <top style="medium">
        <color auto="1"/>
      </top>
      <bottom/>
      <diagonal/>
    </border>
    <border>
      <left/>
      <right/>
      <top style="medium">
        <color indexed="64"/>
      </top>
      <bottom style="medium">
        <color indexed="64"/>
      </bottom>
      <diagonal/>
    </border>
    <border>
      <left/>
      <right/>
      <top style="medium">
        <color auto="1"/>
      </top>
      <bottom/>
      <diagonal/>
    </border>
    <border>
      <left/>
      <right/>
      <top/>
      <bottom style="medium">
        <color auto="1"/>
      </bottom>
      <diagonal/>
    </border>
  </borders>
  <cellStyleXfs count="11">
    <xf numFmtId="0" fontId="0" fillId="0" borderId="0"/>
    <xf numFmtId="0" fontId="3" fillId="0" borderId="0"/>
    <xf numFmtId="0" fontId="2" fillId="0" borderId="0"/>
    <xf numFmtId="165" fontId="2"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6" fontId="2" fillId="0" borderId="0" applyFont="0" applyFill="0" applyBorder="0" applyAlignment="0" applyProtection="0"/>
    <xf numFmtId="0" fontId="1" fillId="0" borderId="0"/>
    <xf numFmtId="9" fontId="16" fillId="0" borderId="0" applyFont="0" applyFill="0" applyBorder="0" applyAlignment="0" applyProtection="0"/>
    <xf numFmtId="0" fontId="22" fillId="0" borderId="0" applyNumberFormat="0" applyFill="0" applyBorder="0" applyAlignment="0" applyProtection="0"/>
    <xf numFmtId="0" fontId="16" fillId="0" borderId="0"/>
  </cellStyleXfs>
  <cellXfs count="252">
    <xf numFmtId="0" fontId="0" fillId="0" borderId="0" xfId="0"/>
    <xf numFmtId="0" fontId="0" fillId="0" borderId="2" xfId="0" applyBorder="1"/>
    <xf numFmtId="0" fontId="0" fillId="0" borderId="3" xfId="0" applyBorder="1"/>
    <xf numFmtId="0" fontId="0" fillId="0" borderId="4" xfId="0" applyBorder="1"/>
    <xf numFmtId="0" fontId="0" fillId="0" borderId="0" xfId="0"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0" xfId="0" applyAlignment="1" applyProtection="1">
      <alignment horizontal="center"/>
      <protection locked="0"/>
    </xf>
    <xf numFmtId="0" fontId="3" fillId="0" borderId="2" xfId="0" applyFont="1" applyBorder="1"/>
    <xf numFmtId="1" fontId="0" fillId="0" borderId="0" xfId="0" applyNumberFormat="1"/>
    <xf numFmtId="0" fontId="3" fillId="0" borderId="1" xfId="0" applyFont="1" applyBorder="1" applyAlignment="1">
      <alignment horizontal="right"/>
    </xf>
    <xf numFmtId="0" fontId="3" fillId="0" borderId="2" xfId="0" applyFont="1" applyBorder="1" applyAlignment="1">
      <alignment horizontal="right"/>
    </xf>
    <xf numFmtId="0" fontId="4" fillId="0" borderId="3" xfId="0" applyFont="1" applyBorder="1" applyAlignment="1">
      <alignment horizontal="right"/>
    </xf>
    <xf numFmtId="0" fontId="5" fillId="0" borderId="2" xfId="0" applyFont="1" applyBorder="1" applyAlignment="1">
      <alignment horizontal="center"/>
    </xf>
    <xf numFmtId="0" fontId="3" fillId="0" borderId="2" xfId="0" applyFont="1" applyBorder="1" applyAlignment="1">
      <alignment wrapText="1"/>
    </xf>
    <xf numFmtId="0" fontId="4" fillId="0" borderId="2" xfId="0" applyFont="1" applyBorder="1" applyAlignment="1">
      <alignment horizontal="left"/>
    </xf>
    <xf numFmtId="0" fontId="4" fillId="0" borderId="2" xfId="0" applyFont="1" applyBorder="1"/>
    <xf numFmtId="1" fontId="0" fillId="2" borderId="2" xfId="0" applyNumberFormat="1" applyFill="1" applyBorder="1" applyAlignment="1">
      <alignment horizontal="center"/>
    </xf>
    <xf numFmtId="0" fontId="0" fillId="0" borderId="4" xfId="0" applyBorder="1" applyAlignment="1">
      <alignment horizontal="center"/>
    </xf>
    <xf numFmtId="0" fontId="3" fillId="0" borderId="4" xfId="0" applyFont="1" applyBorder="1" applyAlignment="1">
      <alignment horizontal="center"/>
    </xf>
    <xf numFmtId="0" fontId="5" fillId="0" borderId="4" xfId="0" applyFont="1" applyBorder="1" applyAlignment="1">
      <alignment horizontal="right"/>
    </xf>
    <xf numFmtId="0" fontId="3" fillId="0" borderId="2" xfId="0" applyFont="1" applyBorder="1" applyAlignment="1">
      <alignment horizontal="left"/>
    </xf>
    <xf numFmtId="0" fontId="4" fillId="0" borderId="4" xfId="0" applyFont="1" applyBorder="1" applyAlignment="1">
      <alignment horizontal="right"/>
    </xf>
    <xf numFmtId="0" fontId="5" fillId="0" borderId="2" xfId="0" applyFont="1" applyBorder="1" applyAlignment="1">
      <alignment horizontal="right"/>
    </xf>
    <xf numFmtId="3" fontId="0" fillId="2" borderId="2" xfId="0" applyNumberFormat="1" applyFill="1" applyBorder="1" applyAlignment="1">
      <alignment horizontal="center"/>
    </xf>
    <xf numFmtId="3" fontId="0" fillId="3" borderId="2" xfId="0" applyNumberFormat="1" applyFill="1" applyBorder="1" applyAlignment="1" applyProtection="1">
      <alignment horizontal="center"/>
      <protection locked="0"/>
    </xf>
    <xf numFmtId="1" fontId="0" fillId="3" borderId="2" xfId="0" applyNumberFormat="1" applyFill="1" applyBorder="1" applyAlignment="1" applyProtection="1">
      <alignment horizontal="center"/>
      <protection locked="0"/>
    </xf>
    <xf numFmtId="1" fontId="0" fillId="0" borderId="2" xfId="0" applyNumberFormat="1" applyBorder="1" applyAlignment="1" applyProtection="1">
      <alignment horizontal="center"/>
      <protection locked="0"/>
    </xf>
    <xf numFmtId="0" fontId="3" fillId="0" borderId="3" xfId="0" applyFont="1" applyBorder="1" applyAlignment="1">
      <alignment horizontal="right"/>
    </xf>
    <xf numFmtId="0" fontId="0" fillId="3" borderId="2" xfId="0" applyFill="1" applyBorder="1" applyAlignment="1">
      <alignment horizontal="center"/>
    </xf>
    <xf numFmtId="0" fontId="0" fillId="0" borderId="1" xfId="0" applyBorder="1"/>
    <xf numFmtId="0" fontId="0" fillId="0" borderId="7" xfId="0" applyBorder="1" applyAlignment="1">
      <alignment horizontal="center"/>
    </xf>
    <xf numFmtId="0" fontId="0" fillId="0" borderId="15" xfId="0" applyBorder="1"/>
    <xf numFmtId="0" fontId="3" fillId="0" borderId="1" xfId="0" applyFont="1" applyBorder="1" applyAlignment="1">
      <alignment horizontal="left"/>
    </xf>
    <xf numFmtId="0" fontId="3" fillId="0" borderId="5" xfId="0" applyFont="1" applyBorder="1"/>
    <xf numFmtId="3" fontId="5" fillId="4" borderId="7" xfId="0" applyNumberFormat="1" applyFont="1" applyFill="1" applyBorder="1" applyAlignment="1">
      <alignment horizontal="center"/>
    </xf>
    <xf numFmtId="1" fontId="5" fillId="4" borderId="7" xfId="0" applyNumberFormat="1" applyFont="1" applyFill="1" applyBorder="1" applyAlignment="1">
      <alignment horizontal="center"/>
    </xf>
    <xf numFmtId="0" fontId="0" fillId="0" borderId="7" xfId="0" applyBorder="1" applyAlignment="1" applyProtection="1">
      <alignment horizontal="center"/>
      <protection locked="0"/>
    </xf>
    <xf numFmtId="1" fontId="0" fillId="0" borderId="7" xfId="0" applyNumberFormat="1" applyBorder="1" applyAlignment="1" applyProtection="1">
      <alignment horizontal="center"/>
      <protection locked="0"/>
    </xf>
    <xf numFmtId="0" fontId="0" fillId="0" borderId="16" xfId="0" applyBorder="1" applyAlignment="1" applyProtection="1">
      <alignment horizontal="center"/>
      <protection locked="0"/>
    </xf>
    <xf numFmtId="1" fontId="4" fillId="2" borderId="3" xfId="0" applyNumberFormat="1" applyFont="1" applyFill="1" applyBorder="1" applyAlignment="1">
      <alignment horizontal="center"/>
    </xf>
    <xf numFmtId="1" fontId="5" fillId="2" borderId="6" xfId="0" applyNumberFormat="1" applyFont="1" applyFill="1" applyBorder="1" applyAlignment="1">
      <alignment horizontal="center"/>
    </xf>
    <xf numFmtId="1" fontId="0" fillId="2" borderId="7" xfId="0" applyNumberFormat="1" applyFill="1" applyBorder="1" applyAlignment="1">
      <alignment horizontal="center"/>
    </xf>
    <xf numFmtId="1" fontId="9" fillId="2" borderId="6" xfId="0" applyNumberFormat="1" applyFont="1" applyFill="1" applyBorder="1" applyAlignment="1">
      <alignment horizontal="center"/>
    </xf>
    <xf numFmtId="0" fontId="0" fillId="0" borderId="8" xfId="0" applyBorder="1"/>
    <xf numFmtId="0" fontId="0" fillId="0" borderId="8" xfId="0" applyBorder="1" applyAlignment="1">
      <alignment horizontal="center"/>
    </xf>
    <xf numFmtId="1" fontId="5" fillId="5" borderId="7" xfId="0" applyNumberFormat="1" applyFont="1" applyFill="1" applyBorder="1" applyAlignment="1">
      <alignment horizontal="center" vertical="center"/>
    </xf>
    <xf numFmtId="1" fontId="0" fillId="3" borderId="2" xfId="0" applyNumberFormat="1" applyFill="1" applyBorder="1" applyAlignment="1" applyProtection="1">
      <alignment horizontal="center" vertical="center"/>
      <protection locked="0"/>
    </xf>
    <xf numFmtId="1" fontId="0" fillId="2" borderId="2" xfId="0" applyNumberFormat="1" applyFill="1" applyBorder="1" applyAlignment="1">
      <alignment horizontal="center" vertical="center"/>
    </xf>
    <xf numFmtId="0" fontId="3" fillId="0" borderId="2" xfId="0" applyFont="1" applyBorder="1" applyAlignment="1">
      <alignment vertical="center"/>
    </xf>
    <xf numFmtId="0" fontId="3" fillId="0" borderId="0" xfId="0" applyFont="1"/>
    <xf numFmtId="3" fontId="0" fillId="2" borderId="2" xfId="0" applyNumberFormat="1" applyFill="1" applyBorder="1" applyAlignment="1">
      <alignment horizontal="center" vertical="center"/>
    </xf>
    <xf numFmtId="0" fontId="3" fillId="0" borderId="2" xfId="0" applyFont="1" applyBorder="1" applyAlignment="1">
      <alignment vertical="center" wrapText="1"/>
    </xf>
    <xf numFmtId="0" fontId="0" fillId="0" borderId="0" xfId="0" applyAlignment="1">
      <alignment horizontal="center" vertical="center"/>
    </xf>
    <xf numFmtId="0" fontId="0" fillId="0" borderId="2" xfId="0" applyBorder="1" applyAlignment="1">
      <alignment vertical="center"/>
    </xf>
    <xf numFmtId="0" fontId="0" fillId="0" borderId="2" xfId="0" applyBorder="1" applyAlignment="1" applyProtection="1">
      <alignment horizontal="center" vertical="center"/>
      <protection locked="0"/>
    </xf>
    <xf numFmtId="0" fontId="0" fillId="0" borderId="2" xfId="0" applyBorder="1" applyAlignment="1">
      <alignment horizontal="center" vertical="center"/>
    </xf>
    <xf numFmtId="1" fontId="0" fillId="0" borderId="2" xfId="0" applyNumberFormat="1" applyBorder="1" applyAlignment="1" applyProtection="1">
      <alignment horizontal="center" vertical="center"/>
      <protection locked="0"/>
    </xf>
    <xf numFmtId="1" fontId="0" fillId="0" borderId="2" xfId="0" applyNumberFormat="1" applyBorder="1" applyAlignment="1">
      <alignment horizontal="center" vertical="center"/>
    </xf>
    <xf numFmtId="3" fontId="5" fillId="4" borderId="7" xfId="0" applyNumberFormat="1" applyFont="1" applyFill="1" applyBorder="1" applyAlignment="1">
      <alignment horizontal="center" vertical="center"/>
    </xf>
    <xf numFmtId="0" fontId="0" fillId="0" borderId="7" xfId="0" applyBorder="1" applyAlignment="1">
      <alignment horizontal="center" vertical="center"/>
    </xf>
    <xf numFmtId="0" fontId="0" fillId="0" borderId="0" xfId="0" applyAlignment="1">
      <alignment vertical="center"/>
    </xf>
    <xf numFmtId="1" fontId="5" fillId="4" borderId="7" xfId="0" applyNumberFormat="1" applyFont="1" applyFill="1" applyBorder="1" applyAlignment="1">
      <alignment horizontal="center" vertical="center"/>
    </xf>
    <xf numFmtId="0" fontId="0" fillId="0" borderId="7" xfId="0" applyBorder="1" applyAlignment="1" applyProtection="1">
      <alignment horizontal="center" vertical="center"/>
      <protection locked="0"/>
    </xf>
    <xf numFmtId="0" fontId="3" fillId="0" borderId="1" xfId="0" applyFont="1" applyBorder="1" applyAlignment="1">
      <alignment horizontal="right" vertical="center"/>
    </xf>
    <xf numFmtId="0" fontId="0" fillId="0" borderId="16" xfId="0" applyBorder="1" applyAlignment="1" applyProtection="1">
      <alignment horizontal="center" vertical="center"/>
      <protection locked="0"/>
    </xf>
    <xf numFmtId="1" fontId="4" fillId="2" borderId="3" xfId="0" applyNumberFormat="1" applyFont="1" applyFill="1" applyBorder="1" applyAlignment="1">
      <alignment horizontal="center" vertical="center"/>
    </xf>
    <xf numFmtId="0" fontId="5" fillId="0" borderId="4" xfId="0" applyFont="1" applyBorder="1" applyAlignment="1">
      <alignment horizontal="right" vertical="center"/>
    </xf>
    <xf numFmtId="1" fontId="5" fillId="2" borderId="6" xfId="0" applyNumberFormat="1" applyFont="1" applyFill="1" applyBorder="1" applyAlignment="1">
      <alignment horizontal="center" vertical="center"/>
    </xf>
    <xf numFmtId="0" fontId="0" fillId="0" borderId="19" xfId="0" applyBorder="1" applyAlignment="1">
      <alignment horizontal="center"/>
    </xf>
    <xf numFmtId="0" fontId="5" fillId="0" borderId="3" xfId="0" applyFont="1" applyBorder="1" applyAlignment="1">
      <alignment vertical="center"/>
    </xf>
    <xf numFmtId="0" fontId="0" fillId="0" borderId="20" xfId="0" applyBorder="1"/>
    <xf numFmtId="0" fontId="4" fillId="0" borderId="1" xfId="0" applyFont="1" applyBorder="1" applyAlignment="1">
      <alignment horizontal="left" vertical="center"/>
    </xf>
    <xf numFmtId="0" fontId="4" fillId="0" borderId="15" xfId="0" applyFont="1" applyBorder="1" applyAlignment="1">
      <alignment horizontal="right" vertical="center"/>
    </xf>
    <xf numFmtId="3" fontId="0" fillId="0" borderId="2" xfId="0" applyNumberFormat="1" applyBorder="1" applyAlignment="1" applyProtection="1">
      <alignment horizontal="center"/>
      <protection locked="0"/>
    </xf>
    <xf numFmtId="0" fontId="3" fillId="0" borderId="3" xfId="0" applyFont="1" applyBorder="1" applyAlignment="1">
      <alignment vertical="center"/>
    </xf>
    <xf numFmtId="0" fontId="3" fillId="0" borderId="1" xfId="0" applyFont="1" applyBorder="1"/>
    <xf numFmtId="1" fontId="5" fillId="0" borderId="2" xfId="0" applyNumberFormat="1" applyFont="1" applyBorder="1" applyAlignment="1" applyProtection="1">
      <alignment horizontal="center"/>
      <protection locked="0"/>
    </xf>
    <xf numFmtId="1" fontId="5" fillId="5" borderId="2" xfId="0" applyNumberFormat="1" applyFont="1" applyFill="1" applyBorder="1" applyAlignment="1" applyProtection="1">
      <alignment horizontal="center"/>
      <protection locked="0"/>
    </xf>
    <xf numFmtId="3" fontId="0" fillId="0" borderId="2" xfId="0" applyNumberFormat="1" applyBorder="1" applyAlignment="1">
      <alignment horizontal="center"/>
    </xf>
    <xf numFmtId="3" fontId="3" fillId="0" borderId="2" xfId="0" applyNumberFormat="1" applyFont="1" applyBorder="1" applyAlignment="1" applyProtection="1">
      <alignment horizontal="center"/>
      <protection locked="0"/>
    </xf>
    <xf numFmtId="3" fontId="0" fillId="0" borderId="3" xfId="0" applyNumberFormat="1" applyBorder="1" applyAlignment="1">
      <alignment horizontal="center"/>
    </xf>
    <xf numFmtId="3" fontId="0" fillId="0" borderId="19" xfId="0" applyNumberFormat="1" applyBorder="1" applyAlignment="1">
      <alignment horizontal="center"/>
    </xf>
    <xf numFmtId="3" fontId="0" fillId="0" borderId="7" xfId="0" applyNumberFormat="1" applyBorder="1" applyAlignment="1">
      <alignment horizontal="center" vertical="center"/>
    </xf>
    <xf numFmtId="3" fontId="0" fillId="0" borderId="16" xfId="0" applyNumberFormat="1" applyBorder="1" applyAlignment="1" applyProtection="1">
      <alignment horizontal="center" vertical="center"/>
      <protection locked="0"/>
    </xf>
    <xf numFmtId="3" fontId="0" fillId="0" borderId="8" xfId="0" applyNumberFormat="1" applyBorder="1" applyAlignment="1">
      <alignment horizontal="center"/>
    </xf>
    <xf numFmtId="3" fontId="0" fillId="3" borderId="2" xfId="0" applyNumberFormat="1" applyFill="1" applyBorder="1" applyAlignment="1">
      <alignment horizontal="center"/>
    </xf>
    <xf numFmtId="3" fontId="0" fillId="0" borderId="3" xfId="0" applyNumberFormat="1" applyBorder="1"/>
    <xf numFmtId="1" fontId="14" fillId="0" borderId="0" xfId="0" applyNumberFormat="1" applyFont="1"/>
    <xf numFmtId="0" fontId="5" fillId="0" borderId="2" xfId="0" applyFont="1" applyBorder="1"/>
    <xf numFmtId="1" fontId="5" fillId="7" borderId="2" xfId="0" applyNumberFormat="1" applyFont="1" applyFill="1" applyBorder="1" applyAlignment="1">
      <alignment horizontal="center"/>
    </xf>
    <xf numFmtId="0" fontId="0" fillId="0" borderId="19" xfId="0" applyBorder="1"/>
    <xf numFmtId="0" fontId="3" fillId="0" borderId="0" xfId="0" applyFont="1" applyAlignment="1">
      <alignment horizontal="right"/>
    </xf>
    <xf numFmtId="165" fontId="0" fillId="0" borderId="0" xfId="0" applyNumberFormat="1"/>
    <xf numFmtId="167" fontId="4" fillId="2" borderId="16" xfId="0" applyNumberFormat="1" applyFont="1" applyFill="1" applyBorder="1"/>
    <xf numFmtId="0" fontId="3" fillId="0" borderId="6" xfId="0" applyFont="1" applyBorder="1" applyAlignment="1">
      <alignment horizontal="center"/>
    </xf>
    <xf numFmtId="168" fontId="0" fillId="3" borderId="2" xfId="0" applyNumberFormat="1" applyFill="1" applyBorder="1" applyAlignment="1" applyProtection="1">
      <alignment horizontal="center" vertical="center"/>
      <protection locked="0"/>
    </xf>
    <xf numFmtId="169" fontId="0" fillId="3" borderId="2" xfId="0" applyNumberFormat="1" applyFill="1" applyBorder="1" applyAlignment="1" applyProtection="1">
      <alignment horizontal="center" vertical="center"/>
      <protection locked="0"/>
    </xf>
    <xf numFmtId="169" fontId="0" fillId="2" borderId="2" xfId="0" applyNumberFormat="1" applyFill="1" applyBorder="1" applyAlignment="1">
      <alignment horizontal="center" vertical="center"/>
    </xf>
    <xf numFmtId="0" fontId="0" fillId="3" borderId="7" xfId="0" applyFill="1" applyBorder="1" applyAlignment="1">
      <alignment horizontal="center"/>
    </xf>
    <xf numFmtId="0" fontId="0" fillId="0" borderId="16" xfId="0" applyBorder="1" applyAlignment="1">
      <alignment horizontal="center"/>
    </xf>
    <xf numFmtId="0" fontId="13" fillId="0" borderId="0" xfId="0" applyFont="1"/>
    <xf numFmtId="3" fontId="5" fillId="0" borderId="2" xfId="0" applyNumberFormat="1" applyFont="1" applyBorder="1" applyAlignment="1">
      <alignment horizontal="center"/>
    </xf>
    <xf numFmtId="3" fontId="0" fillId="0" borderId="22" xfId="0" applyNumberFormat="1" applyBorder="1" applyAlignment="1">
      <alignment horizontal="center"/>
    </xf>
    <xf numFmtId="3" fontId="0" fillId="0" borderId="0" xfId="0" applyNumberFormat="1" applyAlignment="1">
      <alignment horizontal="center"/>
    </xf>
    <xf numFmtId="3" fontId="0" fillId="6" borderId="0" xfId="0" applyNumberFormat="1" applyFill="1" applyAlignment="1">
      <alignment horizontal="center"/>
    </xf>
    <xf numFmtId="3" fontId="5" fillId="0" borderId="0" xfId="0" applyNumberFormat="1" applyFont="1" applyAlignment="1">
      <alignment horizontal="center"/>
    </xf>
    <xf numFmtId="3" fontId="0" fillId="0" borderId="23" xfId="0" applyNumberFormat="1" applyBorder="1" applyAlignment="1">
      <alignment horizontal="center"/>
    </xf>
    <xf numFmtId="3" fontId="5" fillId="0" borderId="8" xfId="0" applyNumberFormat="1" applyFont="1" applyBorder="1" applyAlignment="1">
      <alignment horizontal="center"/>
    </xf>
    <xf numFmtId="4" fontId="0" fillId="0" borderId="2" xfId="0" applyNumberFormat="1" applyBorder="1" applyAlignment="1">
      <alignment horizontal="center"/>
    </xf>
    <xf numFmtId="3" fontId="0" fillId="6" borderId="2" xfId="0" applyNumberFormat="1" applyFill="1" applyBorder="1" applyAlignment="1">
      <alignment horizontal="center"/>
    </xf>
    <xf numFmtId="0" fontId="3" fillId="0" borderId="0" xfId="0" applyFont="1" applyAlignment="1">
      <alignment vertical="center" wrapText="1"/>
    </xf>
    <xf numFmtId="167" fontId="3" fillId="0" borderId="0" xfId="0" applyNumberFormat="1" applyFont="1" applyAlignment="1">
      <alignment vertical="center"/>
    </xf>
    <xf numFmtId="0" fontId="5" fillId="0" borderId="2" xfId="0" quotePrefix="1" applyFont="1" applyBorder="1"/>
    <xf numFmtId="0" fontId="10" fillId="0" borderId="0" xfId="0" applyFont="1" applyAlignment="1">
      <alignment horizontal="left"/>
    </xf>
    <xf numFmtId="0" fontId="3" fillId="2" borderId="5" xfId="0" applyFont="1" applyFill="1" applyBorder="1" applyAlignment="1">
      <alignment horizontal="center"/>
    </xf>
    <xf numFmtId="0" fontId="0" fillId="2" borderId="6" xfId="0" applyFill="1" applyBorder="1" applyAlignment="1">
      <alignment horizontal="center"/>
    </xf>
    <xf numFmtId="0" fontId="11" fillId="0" borderId="0" xfId="0" applyFont="1" applyAlignment="1">
      <alignment horizontal="left"/>
    </xf>
    <xf numFmtId="9" fontId="0" fillId="0" borderId="2" xfId="8" applyFont="1" applyBorder="1" applyAlignment="1" applyProtection="1">
      <alignment horizontal="center"/>
      <protection locked="0"/>
    </xf>
    <xf numFmtId="9" fontId="0" fillId="0" borderId="2" xfId="8" applyFont="1" applyBorder="1" applyAlignment="1">
      <alignment horizontal="center"/>
    </xf>
    <xf numFmtId="3" fontId="17" fillId="0" borderId="2" xfId="0" applyNumberFormat="1" applyFont="1" applyBorder="1" applyAlignment="1">
      <alignment horizontal="center"/>
    </xf>
    <xf numFmtId="3" fontId="16" fillId="0" borderId="2" xfId="0" applyNumberFormat="1" applyFont="1" applyBorder="1" applyAlignment="1">
      <alignment horizontal="center"/>
    </xf>
    <xf numFmtId="3" fontId="16" fillId="0" borderId="0" xfId="0" applyNumberFormat="1" applyFont="1" applyAlignment="1">
      <alignment horizontal="center"/>
    </xf>
    <xf numFmtId="167" fontId="4" fillId="2" borderId="6" xfId="0" applyNumberFormat="1" applyFont="1" applyFill="1" applyBorder="1"/>
    <xf numFmtId="4" fontId="15" fillId="3" borderId="2" xfId="0" applyNumberFormat="1" applyFont="1" applyFill="1" applyBorder="1" applyAlignment="1">
      <alignment horizontal="center"/>
    </xf>
    <xf numFmtId="0" fontId="4" fillId="0" borderId="0" xfId="0" applyFont="1" applyAlignment="1">
      <alignment horizontal="right"/>
    </xf>
    <xf numFmtId="167" fontId="4" fillId="0" borderId="0" xfId="0" applyNumberFormat="1" applyFont="1"/>
    <xf numFmtId="0" fontId="16" fillId="0" borderId="0" xfId="0" applyFont="1"/>
    <xf numFmtId="0" fontId="0" fillId="0" borderId="8" xfId="0" applyBorder="1" applyAlignment="1">
      <alignment vertical="center"/>
    </xf>
    <xf numFmtId="0" fontId="4" fillId="0" borderId="2" xfId="0" applyFont="1" applyBorder="1" applyAlignment="1">
      <alignment horizontal="left" vertical="center"/>
    </xf>
    <xf numFmtId="0" fontId="4" fillId="0" borderId="2" xfId="0" applyFont="1" applyBorder="1" applyAlignment="1">
      <alignment vertical="center"/>
    </xf>
    <xf numFmtId="0" fontId="5" fillId="0" borderId="2" xfId="0" applyFont="1" applyBorder="1" applyAlignment="1">
      <alignment horizontal="center" vertical="center"/>
    </xf>
    <xf numFmtId="0" fontId="0" fillId="0" borderId="8" xfId="0" applyBorder="1" applyAlignment="1">
      <alignment horizontal="center" vertical="center"/>
    </xf>
    <xf numFmtId="1" fontId="5" fillId="4" borderId="2" xfId="0" applyNumberFormat="1" applyFont="1" applyFill="1" applyBorder="1" applyAlignment="1">
      <alignment horizontal="center"/>
    </xf>
    <xf numFmtId="3" fontId="3" fillId="2" borderId="2" xfId="0" applyNumberFormat="1" applyFont="1" applyFill="1" applyBorder="1" applyAlignment="1">
      <alignment horizontal="center"/>
    </xf>
    <xf numFmtId="169" fontId="0" fillId="3" borderId="3" xfId="0" applyNumberFormat="1" applyFill="1" applyBorder="1" applyAlignment="1" applyProtection="1">
      <alignment horizontal="center"/>
      <protection locked="0"/>
    </xf>
    <xf numFmtId="169" fontId="0" fillId="2" borderId="3" xfId="0" applyNumberFormat="1" applyFill="1" applyBorder="1" applyAlignment="1">
      <alignment horizontal="center" vertical="center"/>
    </xf>
    <xf numFmtId="3" fontId="5" fillId="5" borderId="2" xfId="0" applyNumberFormat="1" applyFont="1" applyFill="1" applyBorder="1" applyAlignment="1">
      <alignment horizontal="center"/>
    </xf>
    <xf numFmtId="1" fontId="5" fillId="5" borderId="2" xfId="0" applyNumberFormat="1" applyFont="1" applyFill="1" applyBorder="1" applyAlignment="1">
      <alignment horizontal="center" vertical="center"/>
    </xf>
    <xf numFmtId="1" fontId="5" fillId="0" borderId="2" xfId="0" applyNumberFormat="1" applyFont="1" applyBorder="1" applyAlignment="1">
      <alignment horizontal="center"/>
    </xf>
    <xf numFmtId="1" fontId="5" fillId="5" borderId="2" xfId="0" applyNumberFormat="1" applyFont="1" applyFill="1" applyBorder="1" applyAlignment="1">
      <alignment horizontal="center"/>
    </xf>
    <xf numFmtId="0" fontId="19" fillId="0" borderId="0" xfId="0" applyFont="1"/>
    <xf numFmtId="0" fontId="24" fillId="0" borderId="2" xfId="9" applyFont="1" applyBorder="1"/>
    <xf numFmtId="0" fontId="16" fillId="0" borderId="2" xfId="0" applyFont="1" applyBorder="1"/>
    <xf numFmtId="1" fontId="5" fillId="5" borderId="3" xfId="0" applyNumberFormat="1" applyFont="1" applyFill="1" applyBorder="1" applyAlignment="1">
      <alignment horizontal="center"/>
    </xf>
    <xf numFmtId="0" fontId="16" fillId="0" borderId="20" xfId="0" applyFont="1" applyBorder="1"/>
    <xf numFmtId="0" fontId="16" fillId="0" borderId="8" xfId="0" applyFont="1" applyBorder="1"/>
    <xf numFmtId="0" fontId="18" fillId="0" borderId="2" xfId="0" applyFont="1" applyBorder="1"/>
    <xf numFmtId="0" fontId="16" fillId="0" borderId="3" xfId="0" applyFont="1" applyBorder="1"/>
    <xf numFmtId="4" fontId="19" fillId="3" borderId="2" xfId="0" applyNumberFormat="1" applyFont="1" applyFill="1" applyBorder="1" applyAlignment="1">
      <alignment horizontal="center"/>
    </xf>
    <xf numFmtId="4" fontId="26" fillId="0" borderId="2" xfId="0" applyNumberFormat="1" applyFont="1" applyBorder="1" applyAlignment="1">
      <alignment horizontal="center"/>
    </xf>
    <xf numFmtId="0" fontId="19" fillId="0" borderId="2" xfId="0" applyFont="1" applyBorder="1"/>
    <xf numFmtId="4" fontId="19" fillId="0" borderId="2" xfId="0" applyNumberFormat="1" applyFont="1" applyBorder="1" applyAlignment="1">
      <alignment horizontal="center"/>
    </xf>
    <xf numFmtId="9" fontId="0" fillId="4" borderId="2" xfId="8" applyFont="1" applyFill="1" applyBorder="1" applyAlignment="1">
      <alignment horizontal="center"/>
    </xf>
    <xf numFmtId="0" fontId="17" fillId="0" borderId="1" xfId="0" applyFont="1" applyBorder="1"/>
    <xf numFmtId="1" fontId="0" fillId="0" borderId="2" xfId="0" applyNumberFormat="1" applyBorder="1" applyAlignment="1">
      <alignment horizontal="center"/>
    </xf>
    <xf numFmtId="0" fontId="31" fillId="0" borderId="2" xfId="9" applyFont="1" applyFill="1" applyBorder="1"/>
    <xf numFmtId="0" fontId="3" fillId="0" borderId="4" xfId="0" applyFont="1" applyBorder="1"/>
    <xf numFmtId="0" fontId="5" fillId="0" borderId="2" xfId="0" applyFont="1" applyBorder="1" applyAlignment="1">
      <alignment wrapText="1"/>
    </xf>
    <xf numFmtId="0" fontId="16" fillId="0" borderId="4" xfId="10" applyBorder="1"/>
    <xf numFmtId="0" fontId="3" fillId="0" borderId="4" xfId="10" applyFont="1" applyBorder="1" applyAlignment="1">
      <alignment horizontal="center"/>
    </xf>
    <xf numFmtId="0" fontId="3" fillId="0" borderId="2" xfId="10" applyFont="1" applyBorder="1"/>
    <xf numFmtId="0" fontId="27" fillId="0" borderId="2" xfId="10" applyFont="1" applyBorder="1"/>
    <xf numFmtId="0" fontId="5" fillId="0" borderId="2" xfId="10" applyFont="1" applyBorder="1" applyAlignment="1">
      <alignment horizontal="left" indent="2"/>
    </xf>
    <xf numFmtId="0" fontId="3" fillId="0" borderId="2" xfId="10" applyFont="1" applyBorder="1" applyAlignment="1">
      <alignment vertical="center" wrapText="1"/>
    </xf>
    <xf numFmtId="0" fontId="27" fillId="0" borderId="2" xfId="10" applyFont="1" applyBorder="1" applyAlignment="1">
      <alignment wrapText="1"/>
    </xf>
    <xf numFmtId="0" fontId="23" fillId="0" borderId="2" xfId="10" applyFont="1" applyBorder="1"/>
    <xf numFmtId="0" fontId="3" fillId="0" borderId="3" xfId="10" applyFont="1" applyBorder="1"/>
    <xf numFmtId="0" fontId="10" fillId="0" borderId="0" xfId="0" applyFont="1"/>
    <xf numFmtId="0" fontId="3" fillId="0" borderId="1" xfId="0" applyFont="1" applyBorder="1" applyAlignment="1">
      <alignment horizontal="left" wrapText="1"/>
    </xf>
    <xf numFmtId="0" fontId="17" fillId="0" borderId="1" xfId="0" applyFont="1" applyBorder="1" applyAlignment="1">
      <alignment horizontal="left" wrapText="1" indent="1"/>
    </xf>
    <xf numFmtId="0" fontId="3" fillId="0" borderId="20" xfId="0" applyFont="1" applyBorder="1"/>
    <xf numFmtId="0" fontId="3" fillId="0" borderId="4" xfId="0" applyFont="1" applyBorder="1" applyAlignment="1">
      <alignment horizontal="center" wrapText="1"/>
    </xf>
    <xf numFmtId="0" fontId="3" fillId="0" borderId="6" xfId="0" applyFont="1" applyBorder="1" applyAlignment="1">
      <alignment horizontal="center" wrapText="1"/>
    </xf>
    <xf numFmtId="0" fontId="3" fillId="0" borderId="1" xfId="0" applyFont="1" applyBorder="1" applyAlignment="1">
      <alignment horizontal="left" wrapText="1" indent="1"/>
    </xf>
    <xf numFmtId="0" fontId="3" fillId="0" borderId="1" xfId="0" applyFont="1" applyBorder="1" applyAlignment="1">
      <alignment horizontal="left" indent="1"/>
    </xf>
    <xf numFmtId="0" fontId="32" fillId="0" borderId="1" xfId="7" applyFont="1" applyBorder="1" applyAlignment="1">
      <alignment horizontal="left" vertical="center" indent="1"/>
    </xf>
    <xf numFmtId="0" fontId="34" fillId="0" borderId="1" xfId="7" applyFont="1" applyBorder="1" applyAlignment="1">
      <alignment horizontal="left" vertical="center" indent="1"/>
    </xf>
    <xf numFmtId="0" fontId="4" fillId="0" borderId="1" xfId="0" applyFont="1" applyBorder="1"/>
    <xf numFmtId="0" fontId="32" fillId="0" borderId="2" xfId="7" applyFont="1" applyBorder="1" applyAlignment="1">
      <alignment horizontal="left" vertical="center" indent="1"/>
    </xf>
    <xf numFmtId="0" fontId="4" fillId="2" borderId="15" xfId="0" applyFont="1" applyFill="1" applyBorder="1" applyAlignment="1">
      <alignment horizontal="right" wrapText="1"/>
    </xf>
    <xf numFmtId="0" fontId="35" fillId="0" borderId="2" xfId="7" applyFont="1" applyBorder="1" applyAlignment="1">
      <alignment horizontal="left" vertical="center" indent="1"/>
    </xf>
    <xf numFmtId="0" fontId="4" fillId="2" borderId="5" xfId="0" applyFont="1" applyFill="1" applyBorder="1" applyAlignment="1">
      <alignment horizontal="right" wrapText="1"/>
    </xf>
    <xf numFmtId="3" fontId="3" fillId="6" borderId="0" xfId="0" applyNumberFormat="1" applyFont="1" applyFill="1" applyAlignment="1">
      <alignment horizontal="center"/>
    </xf>
    <xf numFmtId="0" fontId="3" fillId="0" borderId="0" xfId="0" applyFont="1" applyAlignment="1">
      <alignment horizontal="center"/>
    </xf>
    <xf numFmtId="3" fontId="3" fillId="0" borderId="0" xfId="0" applyNumberFormat="1" applyFont="1" applyAlignment="1">
      <alignment horizontal="center"/>
    </xf>
    <xf numFmtId="3" fontId="16" fillId="6" borderId="0" xfId="0" applyNumberFormat="1" applyFont="1" applyFill="1" applyAlignment="1">
      <alignment horizontal="center"/>
    </xf>
    <xf numFmtId="0" fontId="3" fillId="6" borderId="2" xfId="0" applyFont="1" applyFill="1" applyBorder="1" applyAlignment="1">
      <alignment horizontal="center"/>
    </xf>
    <xf numFmtId="0" fontId="31" fillId="0" borderId="2" xfId="9" applyFont="1" applyBorder="1"/>
    <xf numFmtId="0" fontId="10" fillId="0" borderId="0" xfId="0" applyFont="1" applyAlignment="1">
      <alignment horizontal="left"/>
    </xf>
    <xf numFmtId="0" fontId="13" fillId="0" borderId="0" xfId="0" applyFont="1" applyAlignment="1">
      <alignment horizontal="left" wrapText="1"/>
    </xf>
    <xf numFmtId="0" fontId="4" fillId="3" borderId="5" xfId="0" applyFont="1" applyFill="1" applyBorder="1" applyAlignment="1">
      <alignment horizontal="center"/>
    </xf>
    <xf numFmtId="0" fontId="4" fillId="3" borderId="6" xfId="0" applyFont="1" applyFill="1" applyBorder="1" applyAlignment="1">
      <alignment horizontal="center"/>
    </xf>
    <xf numFmtId="0" fontId="3" fillId="2" borderId="5" xfId="0" applyFont="1" applyFill="1" applyBorder="1" applyAlignment="1">
      <alignment horizontal="center"/>
    </xf>
    <xf numFmtId="0" fontId="0" fillId="2" borderId="6" xfId="0" applyFill="1" applyBorder="1" applyAlignment="1">
      <alignment horizontal="center"/>
    </xf>
    <xf numFmtId="0" fontId="0" fillId="0" borderId="0" xfId="0"/>
    <xf numFmtId="0" fontId="7" fillId="0" borderId="10" xfId="0" applyFont="1" applyBorder="1" applyAlignment="1">
      <alignment horizontal="left" wrapText="1"/>
    </xf>
    <xf numFmtId="0" fontId="7" fillId="0" borderId="17" xfId="0" applyFont="1" applyBorder="1" applyAlignment="1">
      <alignment horizontal="left" wrapText="1"/>
    </xf>
    <xf numFmtId="0" fontId="7" fillId="0" borderId="11" xfId="0" applyFont="1" applyBorder="1" applyAlignment="1">
      <alignment horizontal="left" wrapText="1"/>
    </xf>
    <xf numFmtId="0" fontId="8" fillId="0" borderId="9" xfId="0" applyFont="1" applyBorder="1" applyAlignment="1">
      <alignment horizontal="left" wrapText="1"/>
    </xf>
    <xf numFmtId="0" fontId="8" fillId="0" borderId="0" xfId="0" applyFont="1" applyAlignment="1">
      <alignment horizontal="left" wrapText="1"/>
    </xf>
    <xf numFmtId="0" fontId="8" fillId="0" borderId="12" xfId="0" applyFont="1" applyBorder="1" applyAlignment="1">
      <alignment horizontal="left" wrapText="1"/>
    </xf>
    <xf numFmtId="0" fontId="7" fillId="0" borderId="9" xfId="0" applyFont="1" applyBorder="1" applyAlignment="1">
      <alignment horizontal="left"/>
    </xf>
    <xf numFmtId="0" fontId="7" fillId="0" borderId="0" xfId="0" applyFont="1" applyAlignment="1">
      <alignment horizontal="left"/>
    </xf>
    <xf numFmtId="0" fontId="7" fillId="0" borderId="12" xfId="0" applyFont="1" applyBorder="1" applyAlignment="1">
      <alignment horizontal="left"/>
    </xf>
    <xf numFmtId="0" fontId="7" fillId="0" borderId="13" xfId="0" applyFont="1" applyBorder="1" applyAlignment="1">
      <alignment horizontal="left" wrapText="1"/>
    </xf>
    <xf numFmtId="0" fontId="7" fillId="0" borderId="18" xfId="0" applyFont="1" applyBorder="1" applyAlignment="1">
      <alignment horizontal="left" wrapText="1"/>
    </xf>
    <xf numFmtId="0" fontId="7" fillId="0" borderId="14" xfId="0" applyFont="1" applyBorder="1" applyAlignment="1">
      <alignment horizontal="left" wrapText="1"/>
    </xf>
    <xf numFmtId="0" fontId="7" fillId="0" borderId="9"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0" fontId="3" fillId="4" borderId="5" xfId="0" applyFont="1" applyFill="1" applyBorder="1" applyAlignment="1">
      <alignment horizontal="center"/>
    </xf>
    <xf numFmtId="0" fontId="3" fillId="4" borderId="6" xfId="0" applyFont="1" applyFill="1" applyBorder="1" applyAlignment="1">
      <alignment horizontal="center"/>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8" fillId="0" borderId="9" xfId="0" applyFont="1" applyBorder="1" applyAlignment="1">
      <alignment horizontal="left" vertical="top" wrapText="1"/>
    </xf>
    <xf numFmtId="0" fontId="8" fillId="0" borderId="0" xfId="0" applyFont="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8" fillId="0" borderId="18" xfId="0" applyFont="1" applyBorder="1" applyAlignment="1">
      <alignment horizontal="left" vertical="top" wrapText="1"/>
    </xf>
    <xf numFmtId="0" fontId="8" fillId="0" borderId="14" xfId="0" applyFont="1" applyBorder="1" applyAlignment="1">
      <alignment horizontal="left" vertical="top" wrapText="1"/>
    </xf>
    <xf numFmtId="0" fontId="11" fillId="0" borderId="0" xfId="0" applyFont="1" applyAlignment="1">
      <alignment horizontal="left" wrapText="1"/>
    </xf>
    <xf numFmtId="0" fontId="3" fillId="4" borderId="4" xfId="0" applyFont="1" applyFill="1" applyBorder="1" applyAlignment="1">
      <alignment horizontal="center"/>
    </xf>
    <xf numFmtId="0" fontId="7" fillId="0" borderId="17" xfId="0" applyFont="1" applyBorder="1" applyAlignment="1">
      <alignment horizontal="left" vertical="top" wrapText="1"/>
    </xf>
    <xf numFmtId="0" fontId="11" fillId="0" borderId="0" xfId="0" applyFont="1" applyAlignment="1">
      <alignment horizontal="left"/>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9"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30" fillId="0" borderId="10" xfId="0" applyFont="1" applyBorder="1" applyAlignment="1">
      <alignment horizontal="left" vertical="top" wrapText="1"/>
    </xf>
    <xf numFmtId="0" fontId="21" fillId="0" borderId="11" xfId="0" applyFont="1" applyBorder="1" applyAlignment="1">
      <alignment horizontal="left" vertical="top" wrapText="1"/>
    </xf>
    <xf numFmtId="0" fontId="21" fillId="0" borderId="9" xfId="0" applyFont="1" applyBorder="1" applyAlignment="1">
      <alignment horizontal="left" vertical="top" wrapText="1"/>
    </xf>
    <xf numFmtId="0" fontId="21" fillId="0" borderId="12" xfId="0" applyFont="1" applyBorder="1" applyAlignment="1">
      <alignment horizontal="left" vertical="top" wrapText="1"/>
    </xf>
    <xf numFmtId="0" fontId="16" fillId="2" borderId="5" xfId="0" applyFont="1" applyFill="1" applyBorder="1" applyAlignment="1">
      <alignment horizontal="center"/>
    </xf>
    <xf numFmtId="0" fontId="16" fillId="2" borderId="6" xfId="0" applyFont="1" applyFill="1" applyBorder="1" applyAlignment="1">
      <alignment horizontal="center"/>
    </xf>
    <xf numFmtId="0" fontId="30" fillId="0" borderId="13" xfId="0" applyFont="1" applyBorder="1" applyAlignment="1">
      <alignment horizontal="left" vertical="top" wrapText="1"/>
    </xf>
    <xf numFmtId="0" fontId="21" fillId="0" borderId="14" xfId="0" applyFont="1" applyBorder="1" applyAlignment="1">
      <alignment horizontal="left" vertical="top" wrapText="1"/>
    </xf>
    <xf numFmtId="0" fontId="3" fillId="2" borderId="21" xfId="0" applyFont="1" applyFill="1" applyBorder="1" applyAlignment="1">
      <alignment horizontal="center"/>
    </xf>
    <xf numFmtId="0" fontId="3" fillId="2" borderId="6" xfId="0" applyFont="1" applyFill="1" applyBorder="1" applyAlignment="1">
      <alignment horizontal="center"/>
    </xf>
    <xf numFmtId="0" fontId="18" fillId="2" borderId="5" xfId="0" applyFont="1" applyFill="1" applyBorder="1" applyAlignment="1">
      <alignment horizontal="left"/>
    </xf>
    <xf numFmtId="0" fontId="18" fillId="2" borderId="21" xfId="0" applyFont="1" applyFill="1" applyBorder="1" applyAlignment="1">
      <alignment horizontal="left"/>
    </xf>
    <xf numFmtId="0" fontId="18" fillId="2" borderId="6" xfId="0" applyFont="1" applyFill="1" applyBorder="1" applyAlignment="1">
      <alignment horizontal="left"/>
    </xf>
    <xf numFmtId="0" fontId="7" fillId="0" borderId="0" xfId="0" applyFont="1" applyAlignment="1">
      <alignment horizontal="left" vertical="top" wrapText="1"/>
    </xf>
    <xf numFmtId="0" fontId="7" fillId="0" borderId="18" xfId="0" applyFont="1" applyBorder="1" applyAlignment="1">
      <alignment horizontal="left" vertical="top" wrapText="1"/>
    </xf>
    <xf numFmtId="0" fontId="3" fillId="0" borderId="4" xfId="0" applyFont="1" applyBorder="1" applyAlignment="1">
      <alignment horizontal="center" wrapText="1"/>
    </xf>
    <xf numFmtId="0" fontId="3" fillId="0" borderId="5" xfId="0" applyFont="1" applyBorder="1" applyAlignment="1">
      <alignment horizontal="center" wrapText="1"/>
    </xf>
    <xf numFmtId="0" fontId="3" fillId="0" borderId="6" xfId="0" applyFont="1" applyBorder="1" applyAlignment="1">
      <alignment horizontal="center" wrapText="1"/>
    </xf>
  </cellXfs>
  <cellStyles count="11">
    <cellStyle name="Comma 2" xfId="5" xr:uid="{00000000-0005-0000-0000-000000000000}"/>
    <cellStyle name="Comma 3" xfId="3" xr:uid="{00000000-0005-0000-0000-000001000000}"/>
    <cellStyle name="Currency 2" xfId="4" xr:uid="{00000000-0005-0000-0000-000002000000}"/>
    <cellStyle name="Currency 3" xfId="6" xr:uid="{00000000-0005-0000-0000-000003000000}"/>
    <cellStyle name="Hyperlink" xfId="9" builtinId="8"/>
    <cellStyle name="Normal" xfId="0" builtinId="0"/>
    <cellStyle name="Normal 2" xfId="1" xr:uid="{00000000-0005-0000-0000-000005000000}"/>
    <cellStyle name="Normal 3" xfId="2" xr:uid="{00000000-0005-0000-0000-000006000000}"/>
    <cellStyle name="Normal 3 2" xfId="7" xr:uid="{00000000-0005-0000-0000-000007000000}"/>
    <cellStyle name="Per cent" xfId="8" builtinId="5"/>
    <cellStyle name="Обычный 2" xfId="10" xr:uid="{9A86C38A-49BD-46BC-86E7-6B571C56EC4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F88D5-87C8-4B97-9190-64CDCCE9F64D}">
  <dimension ref="B1:F35"/>
  <sheetViews>
    <sheetView tabSelected="1" zoomScaleNormal="100" workbookViewId="0"/>
  </sheetViews>
  <sheetFormatPr defaultColWidth="8.6640625" defaultRowHeight="13.2" x14ac:dyDescent="0.25"/>
  <cols>
    <col min="1" max="1" width="2.109375" customWidth="1"/>
    <col min="2" max="2" width="47.6640625" customWidth="1"/>
    <col min="3" max="3" width="12.6640625" style="4" customWidth="1"/>
    <col min="4" max="4" width="3.33203125" style="4" customWidth="1"/>
    <col min="5" max="5" width="66" bestFit="1" customWidth="1"/>
    <col min="6" max="6" width="14.6640625" style="4" customWidth="1"/>
  </cols>
  <sheetData>
    <row r="1" spans="2:6" ht="19.5" customHeight="1" x14ac:dyDescent="0.3">
      <c r="B1" s="191" t="s">
        <v>1</v>
      </c>
      <c r="C1" s="191"/>
      <c r="D1" s="191"/>
      <c r="E1" s="191"/>
      <c r="F1" s="191"/>
    </row>
    <row r="2" spans="2:6" ht="36" customHeight="1" x14ac:dyDescent="0.25">
      <c r="B2" s="192" t="s">
        <v>2</v>
      </c>
      <c r="C2" s="192"/>
      <c r="D2" s="192"/>
      <c r="E2" s="192"/>
      <c r="F2" s="192"/>
    </row>
    <row r="3" spans="2:6" ht="13.8" thickBot="1" x14ac:dyDescent="0.3"/>
    <row r="4" spans="2:6" ht="13.8" thickBot="1" x14ac:dyDescent="0.3">
      <c r="B4" s="193" t="s">
        <v>3</v>
      </c>
      <c r="C4" s="194"/>
      <c r="E4" s="195" t="s">
        <v>4</v>
      </c>
      <c r="F4" s="196"/>
    </row>
    <row r="5" spans="2:6" ht="13.8" thickBot="1" x14ac:dyDescent="0.3"/>
    <row r="6" spans="2:6" ht="13.8" thickBot="1" x14ac:dyDescent="0.3">
      <c r="B6" s="3" t="s">
        <v>5</v>
      </c>
      <c r="C6" s="21" t="s">
        <v>7</v>
      </c>
      <c r="E6" s="3" t="s">
        <v>6</v>
      </c>
      <c r="F6" s="20" t="s">
        <v>7</v>
      </c>
    </row>
    <row r="7" spans="2:6" x14ac:dyDescent="0.25">
      <c r="B7" s="130"/>
      <c r="C7" s="47"/>
      <c r="E7" s="130"/>
      <c r="F7" s="134"/>
    </row>
    <row r="8" spans="2:6" x14ac:dyDescent="0.25">
      <c r="B8" s="51" t="s">
        <v>8</v>
      </c>
      <c r="C8" s="27">
        <v>12000</v>
      </c>
      <c r="E8" s="10" t="s">
        <v>22</v>
      </c>
      <c r="F8" s="50">
        <f>C8/C10</f>
        <v>4000</v>
      </c>
    </row>
    <row r="9" spans="2:6" x14ac:dyDescent="0.25">
      <c r="B9" s="56"/>
      <c r="C9" s="7"/>
      <c r="E9" s="1"/>
      <c r="F9" s="5"/>
    </row>
    <row r="10" spans="2:6" ht="28.8" x14ac:dyDescent="0.25">
      <c r="B10" s="54" t="s">
        <v>9</v>
      </c>
      <c r="C10" s="49">
        <v>3</v>
      </c>
      <c r="E10" s="51" t="s">
        <v>21</v>
      </c>
      <c r="F10" s="50">
        <f>C10*C14</f>
        <v>12</v>
      </c>
    </row>
    <row r="11" spans="2:6" x14ac:dyDescent="0.25">
      <c r="B11" s="56"/>
      <c r="C11" s="29"/>
      <c r="E11" s="56"/>
      <c r="F11" s="58"/>
    </row>
    <row r="12" spans="2:6" ht="15.6" x14ac:dyDescent="0.25">
      <c r="B12" s="51" t="s">
        <v>10</v>
      </c>
      <c r="C12" s="28">
        <v>20</v>
      </c>
      <c r="E12" s="51" t="s">
        <v>20</v>
      </c>
      <c r="F12" s="50">
        <f>F10*C12</f>
        <v>240</v>
      </c>
    </row>
    <row r="13" spans="2:6" x14ac:dyDescent="0.25">
      <c r="B13" s="56"/>
      <c r="C13" s="29"/>
      <c r="E13" s="56"/>
      <c r="F13" s="60"/>
    </row>
    <row r="14" spans="2:6" ht="15.6" x14ac:dyDescent="0.25">
      <c r="B14" s="51" t="s">
        <v>11</v>
      </c>
      <c r="C14" s="28">
        <v>4</v>
      </c>
      <c r="E14" s="51" t="s">
        <v>19</v>
      </c>
      <c r="F14" s="50">
        <f>ROUND(C16/C10/C14,0)</f>
        <v>2</v>
      </c>
    </row>
    <row r="15" spans="2:6" x14ac:dyDescent="0.25">
      <c r="B15" s="56"/>
      <c r="C15" s="29"/>
      <c r="E15" s="1"/>
      <c r="F15" s="5"/>
    </row>
    <row r="16" spans="2:6" ht="15.6" x14ac:dyDescent="0.25">
      <c r="B16" s="51" t="s">
        <v>12</v>
      </c>
      <c r="C16" s="28">
        <v>20</v>
      </c>
      <c r="E16" s="131" t="s">
        <v>17</v>
      </c>
      <c r="F16" s="50">
        <f>C8/F12</f>
        <v>50</v>
      </c>
    </row>
    <row r="17" spans="2:6" x14ac:dyDescent="0.25">
      <c r="B17" s="51"/>
      <c r="C17" s="29"/>
      <c r="E17" s="132" t="s">
        <v>18</v>
      </c>
      <c r="F17" s="50">
        <f>F16/5</f>
        <v>10</v>
      </c>
    </row>
    <row r="18" spans="2:6" ht="15" x14ac:dyDescent="0.25">
      <c r="B18" s="51"/>
      <c r="C18" s="7"/>
      <c r="E18" s="133" t="s">
        <v>16</v>
      </c>
      <c r="F18" s="60"/>
    </row>
    <row r="19" spans="2:6" x14ac:dyDescent="0.25">
      <c r="B19" s="56"/>
      <c r="C19" s="7"/>
      <c r="E19" s="132" t="s">
        <v>15</v>
      </c>
      <c r="F19" s="50">
        <f>+F17*7</f>
        <v>70</v>
      </c>
    </row>
    <row r="20" spans="2:6" x14ac:dyDescent="0.25">
      <c r="B20" s="1"/>
      <c r="C20" s="5"/>
      <c r="E20" s="1"/>
      <c r="F20" s="157"/>
    </row>
    <row r="21" spans="2:6" ht="22.5" customHeight="1" thickBot="1" x14ac:dyDescent="0.3">
      <c r="B21" s="77" t="s">
        <v>13</v>
      </c>
      <c r="C21" s="137">
        <v>45139</v>
      </c>
      <c r="E21" s="77" t="s">
        <v>14</v>
      </c>
      <c r="F21" s="138">
        <f>C21+(F16/5*7)</f>
        <v>45209</v>
      </c>
    </row>
    <row r="22" spans="2:6" ht="22.5" customHeight="1" x14ac:dyDescent="0.25">
      <c r="C22" s="9"/>
    </row>
    <row r="23" spans="2:6" ht="24" customHeight="1" x14ac:dyDescent="0.25">
      <c r="B23" s="198" t="s">
        <v>23</v>
      </c>
      <c r="C23" s="199"/>
      <c r="D23" s="199"/>
      <c r="E23" s="199"/>
      <c r="F23" s="200"/>
    </row>
    <row r="24" spans="2:6" ht="12" customHeight="1" x14ac:dyDescent="0.25">
      <c r="B24" s="201" t="s">
        <v>24</v>
      </c>
      <c r="C24" s="202"/>
      <c r="D24" s="202"/>
      <c r="E24" s="202"/>
      <c r="F24" s="203"/>
    </row>
    <row r="25" spans="2:6" ht="12" customHeight="1" x14ac:dyDescent="0.25">
      <c r="B25" s="204" t="s">
        <v>25</v>
      </c>
      <c r="C25" s="205"/>
      <c r="D25" s="205"/>
      <c r="E25" s="205"/>
      <c r="F25" s="206"/>
    </row>
    <row r="26" spans="2:6" ht="12" customHeight="1" x14ac:dyDescent="0.25">
      <c r="B26" s="204" t="s">
        <v>26</v>
      </c>
      <c r="C26" s="205"/>
      <c r="D26" s="205"/>
      <c r="E26" s="205"/>
      <c r="F26" s="206"/>
    </row>
    <row r="27" spans="2:6" ht="36" customHeight="1" x14ac:dyDescent="0.25">
      <c r="B27" s="207" t="s">
        <v>27</v>
      </c>
      <c r="C27" s="208"/>
      <c r="D27" s="208"/>
      <c r="E27" s="208"/>
      <c r="F27" s="209"/>
    </row>
    <row r="28" spans="2:6" x14ac:dyDescent="0.25">
      <c r="C28"/>
      <c r="D28"/>
      <c r="F28"/>
    </row>
    <row r="29" spans="2:6" x14ac:dyDescent="0.25">
      <c r="C29"/>
      <c r="D29"/>
      <c r="F29"/>
    </row>
    <row r="30" spans="2:6" x14ac:dyDescent="0.25">
      <c r="C30"/>
      <c r="D30"/>
      <c r="F30"/>
    </row>
    <row r="31" spans="2:6" x14ac:dyDescent="0.25">
      <c r="C31"/>
      <c r="D31"/>
      <c r="F31"/>
    </row>
    <row r="32" spans="2:6" x14ac:dyDescent="0.25">
      <c r="C32"/>
      <c r="D32"/>
      <c r="F32"/>
    </row>
    <row r="33" spans="3:6" x14ac:dyDescent="0.25">
      <c r="C33"/>
      <c r="D33"/>
      <c r="F33"/>
    </row>
    <row r="34" spans="3:6" x14ac:dyDescent="0.25">
      <c r="C34"/>
      <c r="D34"/>
      <c r="F34"/>
    </row>
    <row r="35" spans="3:6" x14ac:dyDescent="0.25">
      <c r="C35"/>
      <c r="D35"/>
      <c r="E35" s="197"/>
      <c r="F35" s="197"/>
    </row>
  </sheetData>
  <sheetProtection formatCells="0" formatColumns="0" formatRows="0" insertColumns="0" insertRows="0" insertHyperlinks="0" selectLockedCells="1" sort="0" autoFilter="0" pivotTables="0"/>
  <mergeCells count="10">
    <mergeCell ref="B1:F1"/>
    <mergeCell ref="B2:F2"/>
    <mergeCell ref="B4:C4"/>
    <mergeCell ref="E4:F4"/>
    <mergeCell ref="E35:F35"/>
    <mergeCell ref="B23:F23"/>
    <mergeCell ref="B24:F24"/>
    <mergeCell ref="B25:F25"/>
    <mergeCell ref="B26:F26"/>
    <mergeCell ref="B27:F2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48"/>
  <sheetViews>
    <sheetView zoomScaleNormal="100" workbookViewId="0"/>
  </sheetViews>
  <sheetFormatPr defaultColWidth="8.6640625" defaultRowHeight="13.2" x14ac:dyDescent="0.25"/>
  <cols>
    <col min="1" max="1" width="2.109375" customWidth="1"/>
    <col min="2" max="2" width="65.109375" customWidth="1"/>
    <col min="3" max="3" width="14.109375" style="4" customWidth="1"/>
    <col min="4" max="4" width="3.6640625" style="4" customWidth="1"/>
    <col min="5" max="5" width="62.33203125" customWidth="1"/>
    <col min="6" max="6" width="13.109375" style="4" customWidth="1"/>
  </cols>
  <sheetData>
    <row r="1" spans="2:10" ht="19.5" customHeight="1" x14ac:dyDescent="0.3">
      <c r="B1" s="191" t="s">
        <v>28</v>
      </c>
      <c r="C1" s="191"/>
      <c r="D1" s="191"/>
      <c r="E1" s="191"/>
      <c r="F1" s="191"/>
    </row>
    <row r="2" spans="2:10" ht="24" customHeight="1" x14ac:dyDescent="0.25">
      <c r="B2" s="192" t="s">
        <v>29</v>
      </c>
      <c r="C2" s="192"/>
      <c r="D2" s="192"/>
      <c r="E2" s="192"/>
      <c r="F2" s="192"/>
    </row>
    <row r="3" spans="2:10" ht="13.8" thickBot="1" x14ac:dyDescent="0.3"/>
    <row r="4" spans="2:10" ht="13.8" thickBot="1" x14ac:dyDescent="0.3">
      <c r="B4" s="214" t="s">
        <v>30</v>
      </c>
      <c r="C4" s="215"/>
      <c r="E4" s="195" t="s">
        <v>31</v>
      </c>
      <c r="F4" s="196"/>
    </row>
    <row r="5" spans="2:10" ht="13.8" thickBot="1" x14ac:dyDescent="0.3"/>
    <row r="6" spans="2:10" ht="13.8" thickBot="1" x14ac:dyDescent="0.3">
      <c r="B6" s="159" t="s">
        <v>5</v>
      </c>
      <c r="C6" s="97" t="s">
        <v>7</v>
      </c>
      <c r="E6" s="159" t="s">
        <v>6</v>
      </c>
      <c r="F6" s="21" t="s">
        <v>7</v>
      </c>
    </row>
    <row r="7" spans="2:10" x14ac:dyDescent="0.25">
      <c r="B7" s="1"/>
      <c r="C7" s="33"/>
      <c r="E7" s="1"/>
      <c r="F7" s="5"/>
    </row>
    <row r="8" spans="2:10" x14ac:dyDescent="0.25">
      <c r="B8" s="10" t="s">
        <v>32</v>
      </c>
      <c r="C8" s="37">
        <f>'Длительность работ на местах'!C8</f>
        <v>12000</v>
      </c>
      <c r="E8" s="10" t="s">
        <v>43</v>
      </c>
      <c r="F8" s="26">
        <f>C8/C10</f>
        <v>600</v>
      </c>
    </row>
    <row r="9" spans="2:10" x14ac:dyDescent="0.25">
      <c r="B9" s="1"/>
      <c r="C9" s="33"/>
      <c r="E9" s="10" t="s">
        <v>44</v>
      </c>
      <c r="F9" s="19">
        <f>C12*5</f>
        <v>50</v>
      </c>
    </row>
    <row r="10" spans="2:10" x14ac:dyDescent="0.25">
      <c r="B10" s="10" t="s">
        <v>33</v>
      </c>
      <c r="C10" s="38">
        <f>'Длительность работ на местах'!C16</f>
        <v>20</v>
      </c>
      <c r="E10" s="145" t="s">
        <v>45</v>
      </c>
      <c r="F10" s="26">
        <f>C8/F9</f>
        <v>240</v>
      </c>
      <c r="H10" s="52"/>
    </row>
    <row r="11" spans="2:10" ht="24" x14ac:dyDescent="0.25">
      <c r="B11" s="10"/>
      <c r="C11" s="39"/>
      <c r="E11" s="160" t="s">
        <v>58</v>
      </c>
      <c r="F11" s="92">
        <f>'Длительность работ на местах'!F19</f>
        <v>70</v>
      </c>
    </row>
    <row r="12" spans="2:10" ht="32.4" customHeight="1" x14ac:dyDescent="0.25">
      <c r="B12" s="16" t="s">
        <v>34</v>
      </c>
      <c r="C12" s="48">
        <f>'Длительность работ на местах'!F17</f>
        <v>10</v>
      </c>
      <c r="E12" s="54" t="s">
        <v>46</v>
      </c>
      <c r="F12" s="50">
        <f>F10/(C14*C16)</f>
        <v>20</v>
      </c>
    </row>
    <row r="13" spans="2:10" x14ac:dyDescent="0.25">
      <c r="B13" s="10"/>
      <c r="C13" s="39"/>
      <c r="E13" s="1"/>
      <c r="F13" s="5"/>
    </row>
    <row r="14" spans="2:10" ht="26.4" x14ac:dyDescent="0.25">
      <c r="B14" s="16" t="s">
        <v>35</v>
      </c>
      <c r="C14" s="38">
        <f>'Длительность работ на местах'!C10</f>
        <v>3</v>
      </c>
      <c r="E14" s="17" t="s">
        <v>47</v>
      </c>
      <c r="F14" s="5"/>
    </row>
    <row r="15" spans="2:10" x14ac:dyDescent="0.25">
      <c r="B15" s="15"/>
      <c r="C15" s="40"/>
      <c r="E15" s="13" t="s">
        <v>48</v>
      </c>
      <c r="F15" s="19">
        <f>F12*1</f>
        <v>20</v>
      </c>
    </row>
    <row r="16" spans="2:10" x14ac:dyDescent="0.25">
      <c r="B16" s="10" t="s">
        <v>36</v>
      </c>
      <c r="C16" s="38">
        <f>'Длительность работ на местах'!C14</f>
        <v>4</v>
      </c>
      <c r="E16" s="12" t="s">
        <v>49</v>
      </c>
      <c r="F16" s="19">
        <f>F12*C16</f>
        <v>80</v>
      </c>
      <c r="G16" s="90"/>
      <c r="J16" s="11"/>
    </row>
    <row r="17" spans="2:8" ht="13.8" thickBot="1" x14ac:dyDescent="0.3">
      <c r="B17" s="2"/>
      <c r="C17" s="41"/>
      <c r="E17" s="13" t="s">
        <v>50</v>
      </c>
      <c r="F17" s="19">
        <f>F12*1</f>
        <v>20</v>
      </c>
      <c r="H17" s="11"/>
    </row>
    <row r="18" spans="2:8" ht="13.5" customHeight="1" thickBot="1" x14ac:dyDescent="0.3">
      <c r="E18" s="14" t="s">
        <v>51</v>
      </c>
      <c r="F18" s="42">
        <f>SUM(F15:F17)</f>
        <v>120</v>
      </c>
    </row>
    <row r="19" spans="2:8" ht="13.8" thickBot="1" x14ac:dyDescent="0.3">
      <c r="B19" s="193" t="s">
        <v>3</v>
      </c>
      <c r="C19" s="194"/>
      <c r="E19" s="22" t="s">
        <v>52</v>
      </c>
      <c r="F19" s="43">
        <f>+F18*1.1</f>
        <v>132</v>
      </c>
    </row>
    <row r="20" spans="2:8" ht="13.8" thickBot="1" x14ac:dyDescent="0.3">
      <c r="F20"/>
    </row>
    <row r="21" spans="2:8" ht="13.8" thickBot="1" x14ac:dyDescent="0.3">
      <c r="B21" s="36" t="s">
        <v>5</v>
      </c>
      <c r="C21" s="21" t="s">
        <v>7</v>
      </c>
      <c r="E21" s="195" t="s">
        <v>53</v>
      </c>
      <c r="F21" s="196"/>
    </row>
    <row r="22" spans="2:8" ht="13.8" thickBot="1" x14ac:dyDescent="0.3">
      <c r="B22" s="32"/>
      <c r="C22" s="5"/>
    </row>
    <row r="23" spans="2:8" ht="13.8" thickBot="1" x14ac:dyDescent="0.3">
      <c r="B23" s="18" t="s">
        <v>37</v>
      </c>
      <c r="C23" s="33"/>
      <c r="D23"/>
      <c r="E23" s="159" t="s">
        <v>6</v>
      </c>
      <c r="F23" s="20" t="s">
        <v>0</v>
      </c>
    </row>
    <row r="24" spans="2:8" ht="15.6" x14ac:dyDescent="0.25">
      <c r="B24" s="35" t="s">
        <v>38</v>
      </c>
      <c r="C24" s="31">
        <v>1</v>
      </c>
      <c r="D24"/>
      <c r="E24" s="13" t="s">
        <v>48</v>
      </c>
      <c r="F24" s="19">
        <f>F15</f>
        <v>20</v>
      </c>
    </row>
    <row r="25" spans="2:8" x14ac:dyDescent="0.25">
      <c r="B25" s="35"/>
      <c r="C25" s="5"/>
      <c r="D25"/>
      <c r="E25" s="12" t="s">
        <v>49</v>
      </c>
      <c r="F25" s="19">
        <f>F16</f>
        <v>80</v>
      </c>
    </row>
    <row r="26" spans="2:8" ht="15.6" x14ac:dyDescent="0.25">
      <c r="B26" s="35" t="s">
        <v>39</v>
      </c>
      <c r="C26" s="31">
        <v>6</v>
      </c>
      <c r="D26"/>
      <c r="E26" s="13" t="s">
        <v>50</v>
      </c>
      <c r="F26" s="19">
        <f>F17</f>
        <v>20</v>
      </c>
    </row>
    <row r="27" spans="2:8" x14ac:dyDescent="0.25">
      <c r="B27" s="35"/>
      <c r="C27" s="5"/>
      <c r="D27"/>
      <c r="E27" s="25" t="s">
        <v>54</v>
      </c>
      <c r="F27" s="44">
        <f>F18/100*10</f>
        <v>12</v>
      </c>
    </row>
    <row r="28" spans="2:8" ht="13.8" thickBot="1" x14ac:dyDescent="0.3">
      <c r="B28" s="34"/>
      <c r="C28" s="6"/>
      <c r="D28"/>
      <c r="E28" s="13" t="s">
        <v>55</v>
      </c>
      <c r="F28" s="44">
        <f>C24</f>
        <v>1</v>
      </c>
    </row>
    <row r="29" spans="2:8" ht="13.8" thickBot="1" x14ac:dyDescent="0.3">
      <c r="D29"/>
      <c r="E29" s="13" t="s">
        <v>56</v>
      </c>
      <c r="F29" s="44">
        <f>C26</f>
        <v>6</v>
      </c>
    </row>
    <row r="30" spans="2:8" ht="16.2" thickBot="1" x14ac:dyDescent="0.3">
      <c r="B30" s="216" t="s">
        <v>40</v>
      </c>
      <c r="C30" s="217"/>
      <c r="D30"/>
      <c r="E30" s="24" t="s">
        <v>57</v>
      </c>
      <c r="F30" s="45">
        <f>SUM(F24:F29)</f>
        <v>139</v>
      </c>
    </row>
    <row r="31" spans="2:8" ht="12.75" customHeight="1" x14ac:dyDescent="0.25">
      <c r="B31" s="210"/>
      <c r="C31" s="211"/>
      <c r="D31"/>
    </row>
    <row r="32" spans="2:8" ht="12.75" customHeight="1" x14ac:dyDescent="0.25">
      <c r="B32" s="210"/>
      <c r="C32" s="211"/>
      <c r="D32"/>
      <c r="E32" s="216" t="s">
        <v>193</v>
      </c>
      <c r="F32" s="217"/>
    </row>
    <row r="33" spans="2:6" x14ac:dyDescent="0.25">
      <c r="B33" s="210"/>
      <c r="C33" s="211"/>
      <c r="D33"/>
      <c r="E33" s="210"/>
      <c r="F33" s="211"/>
    </row>
    <row r="34" spans="2:6" ht="14.25" customHeight="1" x14ac:dyDescent="0.25">
      <c r="B34" s="210"/>
      <c r="C34" s="211"/>
      <c r="D34"/>
      <c r="E34" s="210"/>
      <c r="F34" s="211"/>
    </row>
    <row r="35" spans="2:6" ht="14.25" customHeight="1" x14ac:dyDescent="0.25">
      <c r="B35" s="210" t="s">
        <v>41</v>
      </c>
      <c r="C35" s="211"/>
      <c r="D35"/>
      <c r="E35" s="210"/>
      <c r="F35" s="211"/>
    </row>
    <row r="36" spans="2:6" ht="26.25" customHeight="1" x14ac:dyDescent="0.25">
      <c r="B36" s="210"/>
      <c r="C36" s="211"/>
      <c r="D36"/>
      <c r="E36" s="212"/>
      <c r="F36" s="213"/>
    </row>
    <row r="37" spans="2:6" ht="12.75" customHeight="1" x14ac:dyDescent="0.25">
      <c r="B37" s="210" t="s">
        <v>42</v>
      </c>
      <c r="C37" s="211"/>
      <c r="D37"/>
      <c r="F37"/>
    </row>
    <row r="38" spans="2:6" x14ac:dyDescent="0.25">
      <c r="B38" s="210"/>
      <c r="C38" s="211"/>
      <c r="D38"/>
      <c r="F38"/>
    </row>
    <row r="39" spans="2:6" x14ac:dyDescent="0.25">
      <c r="B39" s="210"/>
      <c r="C39" s="211"/>
      <c r="D39"/>
      <c r="F39"/>
    </row>
    <row r="40" spans="2:6" x14ac:dyDescent="0.25">
      <c r="B40" s="212"/>
      <c r="C40" s="213"/>
      <c r="F40"/>
    </row>
    <row r="41" spans="2:6" ht="12.75" customHeight="1" x14ac:dyDescent="0.25">
      <c r="F41"/>
    </row>
    <row r="42" spans="2:6" x14ac:dyDescent="0.25">
      <c r="F42"/>
    </row>
    <row r="43" spans="2:6" x14ac:dyDescent="0.25">
      <c r="F43"/>
    </row>
    <row r="44" spans="2:6" x14ac:dyDescent="0.25">
      <c r="F44"/>
    </row>
    <row r="45" spans="2:6" x14ac:dyDescent="0.25">
      <c r="F45"/>
    </row>
    <row r="46" spans="2:6" x14ac:dyDescent="0.25">
      <c r="F46"/>
    </row>
    <row r="47" spans="2:6" x14ac:dyDescent="0.25">
      <c r="F47"/>
    </row>
    <row r="48" spans="2:6" x14ac:dyDescent="0.25">
      <c r="F48"/>
    </row>
  </sheetData>
  <mergeCells count="10">
    <mergeCell ref="B37:C40"/>
    <mergeCell ref="B1:F1"/>
    <mergeCell ref="B2:F2"/>
    <mergeCell ref="B4:C4"/>
    <mergeCell ref="E4:F4"/>
    <mergeCell ref="B19:C19"/>
    <mergeCell ref="E21:F21"/>
    <mergeCell ref="B30:C34"/>
    <mergeCell ref="B35:C36"/>
    <mergeCell ref="E32:F36"/>
  </mergeCell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48A4F-3F24-4C28-97D9-36E3539588EB}">
  <dimension ref="B1:F32"/>
  <sheetViews>
    <sheetView zoomScaleNormal="100" workbookViewId="0"/>
  </sheetViews>
  <sheetFormatPr defaultColWidth="8.6640625" defaultRowHeight="13.2" x14ac:dyDescent="0.25"/>
  <cols>
    <col min="1" max="1" width="2.109375" customWidth="1"/>
    <col min="2" max="2" width="56.6640625" customWidth="1"/>
    <col min="3" max="3" width="12.6640625" style="4" customWidth="1"/>
    <col min="4" max="4" width="3.33203125" style="4" customWidth="1"/>
    <col min="5" max="5" width="50.44140625" customWidth="1"/>
    <col min="6" max="6" width="14.6640625" style="4" customWidth="1"/>
  </cols>
  <sheetData>
    <row r="1" spans="2:6" ht="19.5" customHeight="1" x14ac:dyDescent="0.3">
      <c r="B1" s="191" t="s">
        <v>59</v>
      </c>
      <c r="C1" s="191"/>
      <c r="D1" s="191"/>
      <c r="E1" s="191"/>
      <c r="F1" s="191"/>
    </row>
    <row r="2" spans="2:6" ht="24.6" customHeight="1" x14ac:dyDescent="0.25">
      <c r="B2" s="224" t="s">
        <v>60</v>
      </c>
      <c r="C2" s="224"/>
      <c r="D2" s="224"/>
      <c r="E2" s="224"/>
      <c r="F2" s="224"/>
    </row>
    <row r="3" spans="2:6" ht="13.8" thickBot="1" x14ac:dyDescent="0.3"/>
    <row r="4" spans="2:6" ht="13.8" thickBot="1" x14ac:dyDescent="0.3">
      <c r="B4" s="225" t="s">
        <v>30</v>
      </c>
      <c r="C4" s="225"/>
      <c r="D4" s="52"/>
      <c r="E4" s="52"/>
      <c r="F4" s="52"/>
    </row>
    <row r="5" spans="2:6" x14ac:dyDescent="0.25">
      <c r="B5" s="23"/>
      <c r="C5" s="1"/>
    </row>
    <row r="6" spans="2:6" x14ac:dyDescent="0.25">
      <c r="B6" s="23" t="s">
        <v>43</v>
      </c>
      <c r="C6" s="135">
        <f>'Длительность работ на местах'!C8/'Длительность работ на местах'!C16</f>
        <v>600</v>
      </c>
    </row>
    <row r="7" spans="2:6" ht="13.8" thickBot="1" x14ac:dyDescent="0.3">
      <c r="B7" s="30"/>
      <c r="C7" s="8"/>
    </row>
    <row r="8" spans="2:6" ht="13.8" thickBot="1" x14ac:dyDescent="0.3"/>
    <row r="9" spans="2:6" ht="13.8" thickBot="1" x14ac:dyDescent="0.3">
      <c r="B9" s="193" t="s">
        <v>3</v>
      </c>
      <c r="C9" s="194"/>
      <c r="E9" s="195" t="s">
        <v>4</v>
      </c>
      <c r="F9" s="196"/>
    </row>
    <row r="10" spans="2:6" ht="13.8" thickBot="1" x14ac:dyDescent="0.3"/>
    <row r="11" spans="2:6" ht="13.8" thickBot="1" x14ac:dyDescent="0.3">
      <c r="B11" s="159" t="s">
        <v>5</v>
      </c>
      <c r="C11" s="21" t="s">
        <v>7</v>
      </c>
      <c r="E11" s="159" t="s">
        <v>6</v>
      </c>
      <c r="F11" s="21" t="s">
        <v>7</v>
      </c>
    </row>
    <row r="12" spans="2:6" x14ac:dyDescent="0.25">
      <c r="B12" s="1"/>
      <c r="C12" s="5"/>
      <c r="E12" s="1"/>
      <c r="F12" s="5"/>
    </row>
    <row r="13" spans="2:6" ht="28.2" customHeight="1" x14ac:dyDescent="0.25">
      <c r="B13" s="54" t="s">
        <v>61</v>
      </c>
      <c r="C13" s="98">
        <v>1</v>
      </c>
      <c r="D13" s="55"/>
      <c r="E13" s="51" t="s">
        <v>64</v>
      </c>
      <c r="F13" s="53">
        <f>C6/C13*1.2</f>
        <v>720</v>
      </c>
    </row>
    <row r="14" spans="2:6" x14ac:dyDescent="0.25">
      <c r="B14" s="56"/>
      <c r="C14" s="57"/>
      <c r="D14" s="55"/>
      <c r="E14" s="56"/>
      <c r="F14" s="58"/>
    </row>
    <row r="15" spans="2:6" ht="26.4" x14ac:dyDescent="0.25">
      <c r="B15" s="51" t="s">
        <v>62</v>
      </c>
      <c r="C15" s="49">
        <v>15</v>
      </c>
      <c r="D15" s="55"/>
      <c r="E15" s="54" t="s">
        <v>65</v>
      </c>
      <c r="F15" s="53">
        <f>F13/C15</f>
        <v>48</v>
      </c>
    </row>
    <row r="16" spans="2:6" x14ac:dyDescent="0.25">
      <c r="B16" s="51"/>
      <c r="C16" s="59"/>
      <c r="D16" s="55"/>
      <c r="E16" s="51"/>
      <c r="F16" s="60"/>
    </row>
    <row r="17" spans="2:6" x14ac:dyDescent="0.25">
      <c r="B17" s="51"/>
      <c r="C17" s="59"/>
      <c r="D17" s="55"/>
      <c r="E17" s="18" t="s">
        <v>18</v>
      </c>
      <c r="F17" s="53">
        <f>F15/6</f>
        <v>8</v>
      </c>
    </row>
    <row r="18" spans="2:6" ht="15.6" x14ac:dyDescent="0.25">
      <c r="B18" s="56"/>
      <c r="C18" s="59"/>
      <c r="D18" s="55"/>
      <c r="E18" s="15" t="s">
        <v>66</v>
      </c>
      <c r="F18" s="5"/>
    </row>
    <row r="19" spans="2:6" x14ac:dyDescent="0.25">
      <c r="B19" s="51" t="s">
        <v>63</v>
      </c>
      <c r="C19" s="99">
        <v>44593</v>
      </c>
      <c r="D19" s="55"/>
      <c r="E19" s="51" t="s">
        <v>14</v>
      </c>
      <c r="F19" s="100">
        <f>C19+(F15/6*7)</f>
        <v>44649</v>
      </c>
    </row>
    <row r="20" spans="2:6" ht="13.8" thickBot="1" x14ac:dyDescent="0.3">
      <c r="B20" s="2"/>
      <c r="C20" s="8"/>
      <c r="E20" s="2"/>
      <c r="F20" s="6"/>
    </row>
    <row r="21" spans="2:6" x14ac:dyDescent="0.25">
      <c r="C21" s="9"/>
    </row>
    <row r="22" spans="2:6" ht="54.6" customHeight="1" x14ac:dyDescent="0.25">
      <c r="B22" s="216" t="s">
        <v>67</v>
      </c>
      <c r="C22" s="226"/>
      <c r="D22" s="226"/>
      <c r="E22" s="226"/>
      <c r="F22" s="217"/>
    </row>
    <row r="23" spans="2:6" ht="25.5" customHeight="1" x14ac:dyDescent="0.25">
      <c r="B23" s="218" t="s">
        <v>68</v>
      </c>
      <c r="C23" s="219"/>
      <c r="D23" s="219"/>
      <c r="E23" s="219"/>
      <c r="F23" s="220"/>
    </row>
    <row r="24" spans="2:6" ht="35.25" customHeight="1" x14ac:dyDescent="0.25">
      <c r="B24" s="218" t="s">
        <v>69</v>
      </c>
      <c r="C24" s="219"/>
      <c r="D24" s="219"/>
      <c r="E24" s="219"/>
      <c r="F24" s="220"/>
    </row>
    <row r="25" spans="2:6" x14ac:dyDescent="0.25">
      <c r="B25" s="221" t="s">
        <v>70</v>
      </c>
      <c r="C25" s="222"/>
      <c r="D25" s="222"/>
      <c r="E25" s="222"/>
      <c r="F25" s="223"/>
    </row>
    <row r="26" spans="2:6" x14ac:dyDescent="0.25">
      <c r="C26"/>
      <c r="D26"/>
      <c r="F26"/>
    </row>
    <row r="27" spans="2:6" x14ac:dyDescent="0.25">
      <c r="C27"/>
      <c r="D27"/>
      <c r="F27"/>
    </row>
    <row r="28" spans="2:6" x14ac:dyDescent="0.25">
      <c r="C28"/>
      <c r="D28"/>
      <c r="F28"/>
    </row>
    <row r="29" spans="2:6" x14ac:dyDescent="0.25">
      <c r="C29"/>
      <c r="D29"/>
      <c r="F29"/>
    </row>
    <row r="30" spans="2:6" x14ac:dyDescent="0.25">
      <c r="C30"/>
      <c r="D30"/>
      <c r="F30"/>
    </row>
    <row r="31" spans="2:6" x14ac:dyDescent="0.25">
      <c r="C31"/>
      <c r="D31"/>
      <c r="F31"/>
    </row>
    <row r="32" spans="2:6" x14ac:dyDescent="0.25">
      <c r="C32"/>
      <c r="D32"/>
      <c r="E32" s="197"/>
      <c r="F32" s="197"/>
    </row>
  </sheetData>
  <sheetProtection formatCells="0" formatColumns="0" formatRows="0" insertColumns="0" insertRows="0" insertHyperlinks="0" selectLockedCells="1" sort="0" autoFilter="0" pivotTables="0"/>
  <mergeCells count="10">
    <mergeCell ref="B23:F23"/>
    <mergeCell ref="B24:F24"/>
    <mergeCell ref="B25:F25"/>
    <mergeCell ref="E32:F32"/>
    <mergeCell ref="B1:F1"/>
    <mergeCell ref="B2:F2"/>
    <mergeCell ref="B4:C4"/>
    <mergeCell ref="B9:C9"/>
    <mergeCell ref="E9:F9"/>
    <mergeCell ref="B22:F2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36"/>
  <sheetViews>
    <sheetView zoomScaleNormal="100" workbookViewId="0"/>
  </sheetViews>
  <sheetFormatPr defaultColWidth="8.6640625" defaultRowHeight="13.2" x14ac:dyDescent="0.25"/>
  <cols>
    <col min="1" max="1" width="2.109375" customWidth="1"/>
    <col min="2" max="2" width="54.6640625" customWidth="1"/>
    <col min="3" max="3" width="14.109375" style="4" customWidth="1"/>
    <col min="4" max="4" width="3.6640625" style="4" customWidth="1"/>
    <col min="5" max="5" width="60.44140625" bestFit="1" customWidth="1"/>
    <col min="6" max="6" width="13.109375" style="4" customWidth="1"/>
  </cols>
  <sheetData>
    <row r="1" spans="2:10" ht="19.5" customHeight="1" x14ac:dyDescent="0.3">
      <c r="B1" s="191" t="s">
        <v>71</v>
      </c>
      <c r="C1" s="191"/>
      <c r="D1" s="191"/>
      <c r="E1" s="191"/>
      <c r="F1" s="191"/>
    </row>
    <row r="2" spans="2:10" ht="24" customHeight="1" x14ac:dyDescent="0.25">
      <c r="B2" s="192" t="s">
        <v>72</v>
      </c>
      <c r="C2" s="192"/>
      <c r="D2" s="192"/>
      <c r="E2" s="192"/>
      <c r="F2" s="192"/>
    </row>
    <row r="3" spans="2:10" ht="13.8" thickBot="1" x14ac:dyDescent="0.3"/>
    <row r="4" spans="2:10" ht="13.8" thickBot="1" x14ac:dyDescent="0.3">
      <c r="B4" s="214" t="s">
        <v>73</v>
      </c>
      <c r="C4" s="215"/>
      <c r="E4" s="195" t="s">
        <v>31</v>
      </c>
      <c r="F4" s="196"/>
    </row>
    <row r="5" spans="2:10" ht="13.8" thickBot="1" x14ac:dyDescent="0.3"/>
    <row r="6" spans="2:10" ht="13.8" thickBot="1" x14ac:dyDescent="0.3">
      <c r="B6" s="159" t="s">
        <v>5</v>
      </c>
      <c r="C6" s="97" t="s">
        <v>7</v>
      </c>
      <c r="E6" s="159" t="s">
        <v>6</v>
      </c>
      <c r="F6" s="21" t="s">
        <v>7</v>
      </c>
    </row>
    <row r="7" spans="2:10" x14ac:dyDescent="0.25">
      <c r="B7" s="46"/>
      <c r="C7" s="71"/>
      <c r="E7" s="73"/>
      <c r="F7" s="47"/>
    </row>
    <row r="8" spans="2:10" x14ac:dyDescent="0.25">
      <c r="B8" s="51" t="s">
        <v>43</v>
      </c>
      <c r="C8" s="61">
        <f>'Длит-ть составления списков'!C6</f>
        <v>600</v>
      </c>
      <c r="D8" s="55"/>
      <c r="E8" s="74" t="s">
        <v>47</v>
      </c>
      <c r="F8" s="58"/>
    </row>
    <row r="9" spans="2:10" ht="15.6" x14ac:dyDescent="0.25">
      <c r="B9" s="56"/>
      <c r="C9" s="62"/>
      <c r="D9" s="55"/>
      <c r="E9" s="66" t="s">
        <v>190</v>
      </c>
      <c r="F9" s="50">
        <f>ROUNDUP(C10/3,0)</f>
        <v>5</v>
      </c>
    </row>
    <row r="10" spans="2:10" x14ac:dyDescent="0.25">
      <c r="B10" s="51" t="s">
        <v>74</v>
      </c>
      <c r="C10" s="64">
        <f>'Длит-ть составления списков'!C15</f>
        <v>15</v>
      </c>
      <c r="D10" s="55"/>
      <c r="E10" s="66" t="s">
        <v>83</v>
      </c>
      <c r="F10" s="50">
        <f>C10</f>
        <v>15</v>
      </c>
    </row>
    <row r="11" spans="2:10" x14ac:dyDescent="0.25">
      <c r="B11" s="51"/>
      <c r="C11" s="65"/>
      <c r="D11" s="55"/>
      <c r="E11" s="66" t="s">
        <v>84</v>
      </c>
      <c r="F11" s="50">
        <f>C10</f>
        <v>15</v>
      </c>
    </row>
    <row r="12" spans="2:10" ht="13.8" thickBot="1" x14ac:dyDescent="0.3">
      <c r="B12" s="54" t="s">
        <v>75</v>
      </c>
      <c r="C12" s="48">
        <f>'Длит-ть составления списков'!F17</f>
        <v>8</v>
      </c>
      <c r="D12" s="55"/>
      <c r="E12" s="75" t="s">
        <v>191</v>
      </c>
      <c r="F12" s="68">
        <f>SUM(F9:F11)</f>
        <v>35</v>
      </c>
    </row>
    <row r="13" spans="2:10" ht="15.6" thickBot="1" x14ac:dyDescent="0.3">
      <c r="B13" s="72" t="s">
        <v>76</v>
      </c>
      <c r="C13" s="67"/>
      <c r="D13" s="55"/>
      <c r="E13" s="69" t="s">
        <v>189</v>
      </c>
      <c r="F13" s="70">
        <f>ROUNDUP(F12*1.1,0)</f>
        <v>39</v>
      </c>
    </row>
    <row r="14" spans="2:10" ht="13.8" thickBot="1" x14ac:dyDescent="0.3">
      <c r="B14" s="63"/>
      <c r="C14" s="55"/>
      <c r="D14" s="55"/>
    </row>
    <row r="15" spans="2:10" ht="13.8" thickBot="1" x14ac:dyDescent="0.3">
      <c r="B15" s="193" t="s">
        <v>3</v>
      </c>
      <c r="C15" s="194"/>
      <c r="D15" s="55"/>
      <c r="E15" s="117" t="s">
        <v>53</v>
      </c>
      <c r="F15" s="118"/>
    </row>
    <row r="16" spans="2:10" ht="13.8" thickBot="1" x14ac:dyDescent="0.3">
      <c r="D16" s="55"/>
      <c r="J16" s="11"/>
    </row>
    <row r="17" spans="2:6" ht="13.8" thickBot="1" x14ac:dyDescent="0.3">
      <c r="B17" s="159" t="s">
        <v>5</v>
      </c>
      <c r="C17" s="97" t="s">
        <v>7</v>
      </c>
      <c r="D17" s="55"/>
      <c r="E17" s="159" t="s">
        <v>6</v>
      </c>
      <c r="F17" s="21" t="s">
        <v>7</v>
      </c>
    </row>
    <row r="18" spans="2:6" ht="13.5" customHeight="1" x14ac:dyDescent="0.25">
      <c r="B18" s="46"/>
      <c r="C18" s="71"/>
      <c r="D18" s="55"/>
      <c r="E18" s="1"/>
      <c r="F18" s="5"/>
    </row>
    <row r="19" spans="2:6" x14ac:dyDescent="0.25">
      <c r="B19" s="18" t="s">
        <v>37</v>
      </c>
      <c r="C19" s="33"/>
      <c r="E19" s="13" t="s">
        <v>48</v>
      </c>
      <c r="F19" s="19">
        <f>F9</f>
        <v>5</v>
      </c>
    </row>
    <row r="20" spans="2:6" ht="15.6" x14ac:dyDescent="0.25">
      <c r="B20" s="23" t="s">
        <v>77</v>
      </c>
      <c r="C20" s="101">
        <v>1</v>
      </c>
      <c r="E20" s="12" t="s">
        <v>83</v>
      </c>
      <c r="F20" s="19">
        <f>F10</f>
        <v>15</v>
      </c>
    </row>
    <row r="21" spans="2:6" x14ac:dyDescent="0.25">
      <c r="B21" s="23"/>
      <c r="C21" s="39"/>
      <c r="E21" s="12" t="s">
        <v>84</v>
      </c>
      <c r="F21" s="19">
        <f>F11</f>
        <v>15</v>
      </c>
    </row>
    <row r="22" spans="2:6" ht="15.6" x14ac:dyDescent="0.25">
      <c r="B22" s="23" t="s">
        <v>78</v>
      </c>
      <c r="C22" s="101">
        <v>2</v>
      </c>
      <c r="E22" s="25" t="s">
        <v>85</v>
      </c>
      <c r="F22" s="19">
        <f>ROUNDUP(F12*0.1,0)</f>
        <v>4</v>
      </c>
    </row>
    <row r="23" spans="2:6" ht="13.8" thickBot="1" x14ac:dyDescent="0.3">
      <c r="B23" s="2"/>
      <c r="C23" s="102"/>
      <c r="D23"/>
      <c r="E23" s="13" t="s">
        <v>86</v>
      </c>
      <c r="F23" s="44">
        <f>C20</f>
        <v>1</v>
      </c>
    </row>
    <row r="24" spans="2:6" ht="13.5" customHeight="1" thickBot="1" x14ac:dyDescent="0.3">
      <c r="D24"/>
      <c r="E24" s="13" t="s">
        <v>87</v>
      </c>
      <c r="F24" s="44">
        <f>C22</f>
        <v>2</v>
      </c>
    </row>
    <row r="25" spans="2:6" ht="15" customHeight="1" thickBot="1" x14ac:dyDescent="0.3">
      <c r="B25" s="216" t="s">
        <v>79</v>
      </c>
      <c r="C25" s="217"/>
      <c r="D25"/>
      <c r="E25" s="24" t="s">
        <v>88</v>
      </c>
      <c r="F25" s="45">
        <f>SUM(F19:F24)</f>
        <v>42</v>
      </c>
    </row>
    <row r="26" spans="2:6" ht="12.75" customHeight="1" x14ac:dyDescent="0.25">
      <c r="B26" s="210"/>
      <c r="C26" s="211"/>
      <c r="D26"/>
    </row>
    <row r="27" spans="2:6" ht="12.75" customHeight="1" x14ac:dyDescent="0.25">
      <c r="B27" s="210" t="s">
        <v>80</v>
      </c>
      <c r="C27" s="211"/>
      <c r="D27"/>
      <c r="E27" s="216" t="s">
        <v>81</v>
      </c>
      <c r="F27" s="217"/>
    </row>
    <row r="28" spans="2:6" ht="14.7" customHeight="1" x14ac:dyDescent="0.25">
      <c r="B28" s="212"/>
      <c r="C28" s="213"/>
      <c r="D28"/>
      <c r="E28" s="210" t="s">
        <v>82</v>
      </c>
      <c r="F28" s="211"/>
    </row>
    <row r="29" spans="2:6" ht="12.75" customHeight="1" x14ac:dyDescent="0.25">
      <c r="D29"/>
      <c r="E29" s="210"/>
      <c r="F29" s="211"/>
    </row>
    <row r="30" spans="2:6" ht="12.45" customHeight="1" x14ac:dyDescent="0.25">
      <c r="D30"/>
      <c r="E30" s="210" t="s">
        <v>192</v>
      </c>
      <c r="F30" s="211"/>
    </row>
    <row r="31" spans="2:6" x14ac:dyDescent="0.25">
      <c r="D31"/>
      <c r="E31" s="210"/>
      <c r="F31" s="211"/>
    </row>
    <row r="32" spans="2:6" x14ac:dyDescent="0.25">
      <c r="D32"/>
      <c r="E32" s="212"/>
      <c r="F32" s="213"/>
    </row>
    <row r="33" ht="12.75" customHeight="1" x14ac:dyDescent="0.25"/>
    <row r="36" ht="12.75" customHeight="1" x14ac:dyDescent="0.25"/>
  </sheetData>
  <mergeCells count="10">
    <mergeCell ref="B1:F1"/>
    <mergeCell ref="B2:F2"/>
    <mergeCell ref="B4:C4"/>
    <mergeCell ref="E4:F4"/>
    <mergeCell ref="B15:C15"/>
    <mergeCell ref="B27:C28"/>
    <mergeCell ref="E27:F27"/>
    <mergeCell ref="E28:F29"/>
    <mergeCell ref="B25:C26"/>
    <mergeCell ref="E30:F32"/>
  </mergeCells>
  <phoneticPr fontId="7"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F24"/>
  <sheetViews>
    <sheetView zoomScaleNormal="100" workbookViewId="0"/>
  </sheetViews>
  <sheetFormatPr defaultColWidth="8.6640625" defaultRowHeight="13.2" x14ac:dyDescent="0.25"/>
  <cols>
    <col min="1" max="1" width="2.109375" customWidth="1"/>
    <col min="2" max="2" width="66.21875" bestFit="1" customWidth="1"/>
    <col min="3" max="3" width="14.5546875" style="4" customWidth="1"/>
    <col min="4" max="4" width="3.33203125" customWidth="1"/>
    <col min="5" max="5" width="67.21875" bestFit="1" customWidth="1"/>
    <col min="6" max="6" width="14.5546875" customWidth="1"/>
  </cols>
  <sheetData>
    <row r="1" spans="2:6" ht="19.5" customHeight="1" x14ac:dyDescent="0.3">
      <c r="B1" s="191" t="s">
        <v>89</v>
      </c>
      <c r="C1" s="191"/>
    </row>
    <row r="2" spans="2:6" ht="12.75" customHeight="1" x14ac:dyDescent="0.25">
      <c r="B2" s="227" t="s">
        <v>90</v>
      </c>
      <c r="C2" s="227"/>
    </row>
    <row r="3" spans="2:6" ht="12.75" customHeight="1" thickBot="1" x14ac:dyDescent="0.3">
      <c r="B3" s="119"/>
      <c r="C3" s="119"/>
    </row>
    <row r="4" spans="2:6" ht="13.8" thickBot="1" x14ac:dyDescent="0.3">
      <c r="B4" s="195" t="s">
        <v>4</v>
      </c>
      <c r="C4" s="196"/>
      <c r="E4" s="195" t="s">
        <v>93</v>
      </c>
      <c r="F4" s="196"/>
    </row>
    <row r="5" spans="2:6" ht="13.8" thickBot="1" x14ac:dyDescent="0.3">
      <c r="F5" s="4"/>
    </row>
    <row r="6" spans="2:6" ht="13.8" thickBot="1" x14ac:dyDescent="0.3">
      <c r="B6" s="159" t="s">
        <v>5</v>
      </c>
      <c r="C6" s="21" t="s">
        <v>7</v>
      </c>
      <c r="E6" s="159" t="s">
        <v>5</v>
      </c>
      <c r="F6" s="21" t="s">
        <v>7</v>
      </c>
    </row>
    <row r="7" spans="2:6" x14ac:dyDescent="0.25">
      <c r="B7" s="1"/>
      <c r="C7" s="5"/>
      <c r="E7" s="1"/>
      <c r="F7" s="5"/>
    </row>
    <row r="8" spans="2:6" ht="15.6" x14ac:dyDescent="0.25">
      <c r="B8" s="10" t="s">
        <v>91</v>
      </c>
      <c r="C8" s="139">
        <f>2*'Персонал на местах'!F17</f>
        <v>40</v>
      </c>
      <c r="E8" s="190" t="s">
        <v>188</v>
      </c>
      <c r="F8" s="142">
        <f>'Дополнительные предметы снабжен'!C8</f>
        <v>17</v>
      </c>
    </row>
    <row r="9" spans="2:6" x14ac:dyDescent="0.25">
      <c r="B9" s="1"/>
      <c r="C9" s="15"/>
      <c r="E9" s="10"/>
      <c r="F9" s="141"/>
    </row>
    <row r="10" spans="2:6" ht="15.6" x14ac:dyDescent="0.25">
      <c r="B10" s="16" t="s">
        <v>92</v>
      </c>
      <c r="C10" s="140">
        <f>2*'Персонал на местах'!F17</f>
        <v>40</v>
      </c>
      <c r="E10" s="158" t="s">
        <v>94</v>
      </c>
      <c r="F10" s="142">
        <f>'Дополнительные предметы снабжен'!F8</f>
        <v>17</v>
      </c>
    </row>
    <row r="11" spans="2:6" ht="13.8" thickBot="1" x14ac:dyDescent="0.3">
      <c r="B11" s="1"/>
      <c r="C11" s="141"/>
      <c r="E11" s="2"/>
      <c r="F11" s="8"/>
    </row>
    <row r="12" spans="2:6" ht="13.95" customHeight="1" x14ac:dyDescent="0.25">
      <c r="B12" s="144" t="s">
        <v>187</v>
      </c>
      <c r="C12" s="142">
        <f>'Персонал на местах'!F24+'Персонал на местах'!F25+'Персонал на местах'!F12+5</f>
        <v>125</v>
      </c>
    </row>
    <row r="13" spans="2:6" ht="15" customHeight="1" x14ac:dyDescent="0.25">
      <c r="B13" s="144"/>
      <c r="C13" s="141"/>
      <c r="E13" s="216" t="s">
        <v>99</v>
      </c>
      <c r="F13" s="217"/>
    </row>
    <row r="14" spans="2:6" ht="19.8" customHeight="1" x14ac:dyDescent="0.25">
      <c r="B14" s="144" t="s">
        <v>95</v>
      </c>
      <c r="C14" s="142">
        <f>ROUNDUP(1.1*'Длительность работ на местах'!C12,0)</f>
        <v>22</v>
      </c>
      <c r="E14" s="210"/>
      <c r="F14" s="211"/>
    </row>
    <row r="15" spans="2:6" ht="13.8" thickBot="1" x14ac:dyDescent="0.3">
      <c r="B15" s="2"/>
      <c r="C15" s="8"/>
      <c r="E15" s="212"/>
      <c r="F15" s="213"/>
    </row>
    <row r="16" spans="2:6" x14ac:dyDescent="0.25">
      <c r="C16" s="9"/>
      <c r="D16" s="143"/>
    </row>
    <row r="17" spans="2:3" ht="12.45" customHeight="1" x14ac:dyDescent="0.25">
      <c r="B17" s="216" t="s">
        <v>96</v>
      </c>
      <c r="C17" s="217"/>
    </row>
    <row r="18" spans="2:3" x14ac:dyDescent="0.25">
      <c r="B18" s="210"/>
      <c r="C18" s="211"/>
    </row>
    <row r="19" spans="2:3" x14ac:dyDescent="0.25">
      <c r="B19" s="210"/>
      <c r="C19" s="211"/>
    </row>
    <row r="20" spans="2:3" ht="19.2" customHeight="1" x14ac:dyDescent="0.25">
      <c r="B20" s="210"/>
      <c r="C20" s="211"/>
    </row>
    <row r="21" spans="2:3" x14ac:dyDescent="0.25">
      <c r="B21" s="210" t="s">
        <v>97</v>
      </c>
      <c r="C21" s="211"/>
    </row>
    <row r="22" spans="2:3" x14ac:dyDescent="0.25">
      <c r="B22" s="210"/>
      <c r="C22" s="211"/>
    </row>
    <row r="23" spans="2:3" ht="18" customHeight="1" x14ac:dyDescent="0.25">
      <c r="B23" s="210"/>
      <c r="C23" s="211"/>
    </row>
    <row r="24" spans="2:3" x14ac:dyDescent="0.25">
      <c r="B24" s="212" t="s">
        <v>98</v>
      </c>
      <c r="C24" s="213"/>
    </row>
  </sheetData>
  <mergeCells count="8">
    <mergeCell ref="B24:C24"/>
    <mergeCell ref="E4:F4"/>
    <mergeCell ref="B17:C20"/>
    <mergeCell ref="B1:C1"/>
    <mergeCell ref="B2:C2"/>
    <mergeCell ref="B4:C4"/>
    <mergeCell ref="E13:F15"/>
    <mergeCell ref="B21:C23"/>
  </mergeCells>
  <hyperlinks>
    <hyperlink ref="B14" location="'Качество воды'!A1" display="Оборудование для анализа качества воды21 - cм. дополнительный лист." xr:uid="{EC5AAF9C-F8A2-4DBF-BF89-943416E365BD}"/>
    <hyperlink ref="B12" location="'Предметы снабж-я для планшетов'!A1" display="Планшетные ПК20 - cм. дополнительный лист." xr:uid="{D021315E-6B6B-4EB4-952C-62D5EE373877}"/>
    <hyperlink ref="E8" location="'Дополнительные предметы снабжен'!A1" display="Планшетные ПК для оставления списков22 - см. дополнительный лист" xr:uid="{1B5225B9-665B-42C9-98E1-67F0B1B1C7A1}"/>
    <hyperlink ref="E10" location="'Дополнительные предметы снабжен'!A1" display="Устройства GPS - см. дополнительный лист" xr:uid="{B02CF6EC-5260-49E0-8EAD-3EE6EBD4F199}"/>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2CD22-A985-4939-9ACA-EB8D6FD74AAB}">
  <dimension ref="B1:C26"/>
  <sheetViews>
    <sheetView zoomScaleNormal="100" workbookViewId="0"/>
  </sheetViews>
  <sheetFormatPr defaultColWidth="8.6640625" defaultRowHeight="13.2" x14ac:dyDescent="0.25"/>
  <cols>
    <col min="1" max="1" width="2.109375" customWidth="1"/>
    <col min="2" max="2" width="60" customWidth="1"/>
    <col min="3" max="3" width="15.33203125" style="4" customWidth="1"/>
    <col min="4" max="4" width="8" customWidth="1"/>
  </cols>
  <sheetData>
    <row r="1" spans="2:3" ht="19.5" customHeight="1" x14ac:dyDescent="0.3">
      <c r="B1" s="116" t="s">
        <v>100</v>
      </c>
      <c r="C1" s="116"/>
    </row>
    <row r="2" spans="2:3" ht="12.75" customHeight="1" x14ac:dyDescent="0.25">
      <c r="B2" s="227" t="s">
        <v>101</v>
      </c>
      <c r="C2" s="227"/>
    </row>
    <row r="3" spans="2:3" ht="12.75" customHeight="1" thickBot="1" x14ac:dyDescent="0.3">
      <c r="B3" s="119"/>
      <c r="C3" s="119"/>
    </row>
    <row r="4" spans="2:3" ht="12.75" customHeight="1" thickBot="1" x14ac:dyDescent="0.3">
      <c r="B4" s="195" t="s">
        <v>4</v>
      </c>
      <c r="C4" s="196"/>
    </row>
    <row r="5" spans="2:3" ht="12.75" customHeight="1" thickBot="1" x14ac:dyDescent="0.3"/>
    <row r="6" spans="2:3" ht="12.75" customHeight="1" thickBot="1" x14ac:dyDescent="0.3">
      <c r="B6" s="159" t="s">
        <v>5</v>
      </c>
      <c r="C6" s="21" t="s">
        <v>7</v>
      </c>
    </row>
    <row r="7" spans="2:3" ht="12.75" customHeight="1" x14ac:dyDescent="0.25">
      <c r="B7" s="1"/>
      <c r="C7" s="5"/>
    </row>
    <row r="8" spans="2:3" ht="12.75" customHeight="1" x14ac:dyDescent="0.25">
      <c r="B8" s="10" t="s">
        <v>102</v>
      </c>
      <c r="C8" s="80">
        <f>'Предметы снабжения'!C12</f>
        <v>125</v>
      </c>
    </row>
    <row r="9" spans="2:3" ht="12.75" customHeight="1" x14ac:dyDescent="0.25">
      <c r="B9" s="10"/>
      <c r="C9" s="79"/>
    </row>
    <row r="10" spans="2:3" ht="12.75" customHeight="1" x14ac:dyDescent="0.25">
      <c r="B10" s="10" t="s">
        <v>103</v>
      </c>
      <c r="C10" s="80">
        <f>'Предметы снабжения'!C12</f>
        <v>125</v>
      </c>
    </row>
    <row r="11" spans="2:3" ht="12.75" customHeight="1" x14ac:dyDescent="0.25">
      <c r="B11" s="10"/>
      <c r="C11" s="79"/>
    </row>
    <row r="12" spans="2:3" ht="12.75" customHeight="1" x14ac:dyDescent="0.25">
      <c r="B12" s="10" t="s">
        <v>104</v>
      </c>
      <c r="C12" s="80">
        <f>'Предметы снабжения'!C12</f>
        <v>125</v>
      </c>
    </row>
    <row r="13" spans="2:3" ht="12.75" customHeight="1" x14ac:dyDescent="0.25">
      <c r="B13" s="10"/>
      <c r="C13" s="79"/>
    </row>
    <row r="14" spans="2:3" ht="12.75" customHeight="1" x14ac:dyDescent="0.25">
      <c r="B14" s="10" t="s">
        <v>105</v>
      </c>
      <c r="C14" s="80">
        <f>'Предметы снабжения'!C12</f>
        <v>125</v>
      </c>
    </row>
    <row r="15" spans="2:3" ht="12.75" customHeight="1" x14ac:dyDescent="0.25">
      <c r="B15" s="10"/>
      <c r="C15" s="79"/>
    </row>
    <row r="16" spans="2:3" ht="12.75" customHeight="1" x14ac:dyDescent="0.25">
      <c r="B16" s="10" t="s">
        <v>106</v>
      </c>
      <c r="C16" s="142">
        <f>2*'Длительность работ на местах'!C12</f>
        <v>40</v>
      </c>
    </row>
    <row r="17" spans="2:3" ht="12.75" customHeight="1" x14ac:dyDescent="0.25">
      <c r="B17" s="10"/>
      <c r="C17" s="141"/>
    </row>
    <row r="18" spans="2:3" ht="12.75" customHeight="1" x14ac:dyDescent="0.25">
      <c r="B18" s="10" t="s">
        <v>107</v>
      </c>
      <c r="C18" s="142">
        <f>'Предметы снабжения'!C12+(2*'Длительность работ на местах'!C12)</f>
        <v>165</v>
      </c>
    </row>
    <row r="19" spans="2:3" ht="12.75" customHeight="1" x14ac:dyDescent="0.25">
      <c r="B19" s="10"/>
      <c r="C19" s="141"/>
    </row>
    <row r="20" spans="2:3" ht="12.75" customHeight="1" x14ac:dyDescent="0.25">
      <c r="B20" s="10" t="s">
        <v>108</v>
      </c>
      <c r="C20" s="142">
        <f>'Длительность работ на местах'!C12</f>
        <v>20</v>
      </c>
    </row>
    <row r="21" spans="2:3" ht="12.75" customHeight="1" thickBot="1" x14ac:dyDescent="0.3">
      <c r="B21" s="2"/>
      <c r="C21" s="8"/>
    </row>
    <row r="22" spans="2:3" ht="12.75" customHeight="1" x14ac:dyDescent="0.25">
      <c r="C22" s="9"/>
    </row>
    <row r="23" spans="2:3" ht="12.75" customHeight="1" x14ac:dyDescent="0.25">
      <c r="B23" s="228" t="s">
        <v>109</v>
      </c>
      <c r="C23" s="229"/>
    </row>
    <row r="24" spans="2:3" ht="23.4" customHeight="1" x14ac:dyDescent="0.25">
      <c r="B24" s="230" t="s">
        <v>110</v>
      </c>
      <c r="C24" s="231"/>
    </row>
    <row r="25" spans="2:3" ht="12.75" customHeight="1" x14ac:dyDescent="0.25">
      <c r="B25" s="232" t="s">
        <v>111</v>
      </c>
      <c r="C25" s="233"/>
    </row>
    <row r="26" spans="2:3" ht="12.75" customHeight="1" x14ac:dyDescent="0.25"/>
  </sheetData>
  <mergeCells count="5">
    <mergeCell ref="B2:C2"/>
    <mergeCell ref="B4:C4"/>
    <mergeCell ref="B23:C23"/>
    <mergeCell ref="B24:C24"/>
    <mergeCell ref="B25:C25"/>
  </mergeCells>
  <pageMargins left="0.7" right="0.7" top="0.75" bottom="0.75" header="0.3" footer="0.3"/>
  <pageSetup paperSize="9" orientation="portrait" r:id="rId1"/>
  <ignoredErrors>
    <ignoredError sqref="C14 C12 C10 C8"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0F87F-65EF-4475-B6BF-B44F677371C5}">
  <dimension ref="B1:Y49"/>
  <sheetViews>
    <sheetView zoomScaleNormal="100" workbookViewId="0"/>
  </sheetViews>
  <sheetFormatPr defaultColWidth="8.6640625" defaultRowHeight="13.2" x14ac:dyDescent="0.25"/>
  <cols>
    <col min="1" max="1" width="2.109375" customWidth="1"/>
    <col min="2" max="2" width="61.77734375" customWidth="1"/>
    <col min="3" max="3" width="16.5546875" customWidth="1"/>
    <col min="4" max="4" width="4.5546875" customWidth="1"/>
    <col min="5" max="5" width="78.33203125" customWidth="1"/>
    <col min="6" max="6" width="16.5546875" customWidth="1"/>
  </cols>
  <sheetData>
    <row r="1" spans="2:6" ht="19.5" customHeight="1" x14ac:dyDescent="0.3">
      <c r="B1" s="116" t="s">
        <v>112</v>
      </c>
      <c r="C1" s="116"/>
    </row>
    <row r="2" spans="2:6" ht="12.75" customHeight="1" x14ac:dyDescent="0.25">
      <c r="B2" s="227" t="s">
        <v>113</v>
      </c>
      <c r="C2" s="227"/>
      <c r="E2" s="143"/>
    </row>
    <row r="3" spans="2:6" ht="12.75" customHeight="1" thickBot="1" x14ac:dyDescent="0.3"/>
    <row r="4" spans="2:6" ht="16.5" customHeight="1" thickBot="1" x14ac:dyDescent="0.3">
      <c r="B4" s="195" t="s">
        <v>114</v>
      </c>
      <c r="C4" s="196"/>
      <c r="E4" s="238" t="s">
        <v>123</v>
      </c>
      <c r="F4" s="239"/>
    </row>
    <row r="5" spans="2:6" ht="12.75" customHeight="1" thickBot="1" x14ac:dyDescent="0.3">
      <c r="C5" s="4"/>
      <c r="F5" s="4"/>
    </row>
    <row r="6" spans="2:6" ht="12.75" customHeight="1" thickBot="1" x14ac:dyDescent="0.3">
      <c r="B6" s="161" t="s">
        <v>5</v>
      </c>
      <c r="C6" s="162" t="s">
        <v>7</v>
      </c>
      <c r="E6" s="161" t="s">
        <v>5</v>
      </c>
      <c r="F6" s="162" t="s">
        <v>7</v>
      </c>
    </row>
    <row r="7" spans="2:6" ht="12.75" customHeight="1" x14ac:dyDescent="0.25">
      <c r="B7" s="1"/>
      <c r="C7" s="5"/>
      <c r="E7" s="1"/>
      <c r="F7" s="47"/>
    </row>
    <row r="8" spans="2:6" ht="12.75" customHeight="1" x14ac:dyDescent="0.25">
      <c r="B8" s="163" t="s">
        <v>102</v>
      </c>
      <c r="C8" s="142">
        <f>ROUND(('Персонал для составл-я списков'!F10)*1.1,0)</f>
        <v>17</v>
      </c>
      <c r="E8" s="164" t="s">
        <v>124</v>
      </c>
      <c r="F8" s="142">
        <f>'Персонал для составл-я списков'!F11+2</f>
        <v>17</v>
      </c>
    </row>
    <row r="9" spans="2:6" ht="12.75" customHeight="1" x14ac:dyDescent="0.25">
      <c r="B9" s="163"/>
      <c r="C9" s="141"/>
      <c r="E9" s="165" t="s">
        <v>125</v>
      </c>
      <c r="F9" s="141"/>
    </row>
    <row r="10" spans="2:6" ht="12.75" customHeight="1" x14ac:dyDescent="0.25">
      <c r="B10" s="163" t="s">
        <v>103</v>
      </c>
      <c r="C10" s="142">
        <f>C8</f>
        <v>17</v>
      </c>
      <c r="E10" s="10"/>
      <c r="F10" s="141"/>
    </row>
    <row r="11" spans="2:6" ht="12.75" customHeight="1" x14ac:dyDescent="0.25">
      <c r="B11" s="163"/>
      <c r="C11" s="141"/>
      <c r="E11" s="166" t="s">
        <v>126</v>
      </c>
      <c r="F11" s="142">
        <f>F8</f>
        <v>17</v>
      </c>
    </row>
    <row r="12" spans="2:6" ht="12.75" customHeight="1" x14ac:dyDescent="0.25">
      <c r="B12" s="163" t="s">
        <v>104</v>
      </c>
      <c r="C12" s="142">
        <f>C8</f>
        <v>17</v>
      </c>
      <c r="E12" s="163"/>
      <c r="F12" s="141"/>
    </row>
    <row r="13" spans="2:6" ht="28.5" customHeight="1" x14ac:dyDescent="0.25">
      <c r="B13" s="163"/>
      <c r="C13" s="141"/>
      <c r="E13" s="167" t="s">
        <v>127</v>
      </c>
      <c r="F13" s="142">
        <f>F8</f>
        <v>17</v>
      </c>
    </row>
    <row r="14" spans="2:6" ht="12.75" customHeight="1" x14ac:dyDescent="0.25">
      <c r="B14" s="163" t="s">
        <v>115</v>
      </c>
      <c r="C14" s="142">
        <f>C8</f>
        <v>17</v>
      </c>
      <c r="E14" s="168"/>
      <c r="F14" s="141"/>
    </row>
    <row r="15" spans="2:6" ht="12.75" customHeight="1" thickBot="1" x14ac:dyDescent="0.3">
      <c r="B15" s="163"/>
      <c r="C15" s="79"/>
      <c r="E15" s="169" t="s">
        <v>128</v>
      </c>
      <c r="F15" s="146">
        <f>F8</f>
        <v>17</v>
      </c>
    </row>
    <row r="16" spans="2:6" ht="15" customHeight="1" x14ac:dyDescent="0.25">
      <c r="B16" s="163" t="s">
        <v>116</v>
      </c>
      <c r="C16" s="142">
        <f>('Персонал для составл-я списков'!C10)</f>
        <v>15</v>
      </c>
      <c r="F16" s="9"/>
    </row>
    <row r="17" spans="2:25" ht="12.75" customHeight="1" x14ac:dyDescent="0.25">
      <c r="B17" s="163"/>
      <c r="C17" s="141"/>
      <c r="E17" s="234" t="s">
        <v>129</v>
      </c>
      <c r="F17" s="235"/>
    </row>
    <row r="18" spans="2:25" ht="12.75" customHeight="1" x14ac:dyDescent="0.25">
      <c r="B18" s="163" t="s">
        <v>117</v>
      </c>
      <c r="C18" s="142">
        <f>('Персонал для составл-я списков'!F10)+(2*'Персонал для составл-я списков'!C10)</f>
        <v>45</v>
      </c>
      <c r="E18" s="236"/>
      <c r="F18" s="237"/>
    </row>
    <row r="19" spans="2:25" ht="12.75" customHeight="1" x14ac:dyDescent="0.25">
      <c r="B19" s="163"/>
      <c r="C19" s="141"/>
      <c r="E19" s="236"/>
      <c r="F19" s="237"/>
    </row>
    <row r="20" spans="2:25" ht="12.75" customHeight="1" x14ac:dyDescent="0.25">
      <c r="B20" s="163" t="s">
        <v>118</v>
      </c>
      <c r="C20" s="142">
        <f>'Персонал для составл-я списков'!C10</f>
        <v>15</v>
      </c>
      <c r="E20" s="240" t="s">
        <v>130</v>
      </c>
      <c r="F20" s="241"/>
    </row>
    <row r="21" spans="2:25" ht="12.75" customHeight="1" thickBot="1" x14ac:dyDescent="0.3">
      <c r="B21" s="2"/>
      <c r="C21" s="8"/>
    </row>
    <row r="22" spans="2:25" ht="12.75" customHeight="1" x14ac:dyDescent="0.25">
      <c r="C22" s="9"/>
      <c r="E22" s="52"/>
    </row>
    <row r="23" spans="2:25" ht="12.75" customHeight="1" x14ac:dyDescent="0.25">
      <c r="B23" s="216" t="s">
        <v>119</v>
      </c>
      <c r="C23" s="217"/>
    </row>
    <row r="24" spans="2:25" ht="12.75" customHeight="1" x14ac:dyDescent="0.25">
      <c r="B24" s="210"/>
      <c r="C24" s="211"/>
    </row>
    <row r="25" spans="2:25" ht="30.6" customHeight="1" x14ac:dyDescent="0.25">
      <c r="B25" s="210"/>
      <c r="C25" s="211"/>
    </row>
    <row r="26" spans="2:25" ht="12.75" customHeight="1" x14ac:dyDescent="0.25">
      <c r="B26" s="230" t="s">
        <v>120</v>
      </c>
      <c r="C26" s="231"/>
    </row>
    <row r="27" spans="2:25" ht="24" customHeight="1" x14ac:dyDescent="0.25">
      <c r="B27" s="230" t="s">
        <v>121</v>
      </c>
      <c r="C27" s="231"/>
    </row>
    <row r="28" spans="2:25" x14ac:dyDescent="0.25">
      <c r="B28" s="232" t="s">
        <v>122</v>
      </c>
      <c r="C28" s="233"/>
      <c r="D28" s="129"/>
    </row>
    <row r="29" spans="2:25" s="4" customFormat="1" x14ac:dyDescent="0.25">
      <c r="B29"/>
      <c r="C29"/>
      <c r="D29" s="129"/>
      <c r="E29"/>
      <c r="F29"/>
      <c r="G29"/>
      <c r="H29"/>
      <c r="I29"/>
      <c r="J29"/>
      <c r="K29"/>
      <c r="L29"/>
      <c r="M29"/>
      <c r="N29"/>
      <c r="O29"/>
      <c r="P29"/>
      <c r="Q29"/>
      <c r="R29"/>
      <c r="S29"/>
      <c r="T29"/>
      <c r="U29"/>
      <c r="V29"/>
      <c r="W29"/>
      <c r="X29"/>
      <c r="Y29"/>
    </row>
    <row r="49" ht="12.75" customHeight="1" x14ac:dyDescent="0.25"/>
  </sheetData>
  <mergeCells count="9">
    <mergeCell ref="B27:C27"/>
    <mergeCell ref="B28:C28"/>
    <mergeCell ref="E17:F19"/>
    <mergeCell ref="B2:C2"/>
    <mergeCell ref="B4:C4"/>
    <mergeCell ref="B23:C25"/>
    <mergeCell ref="E4:F4"/>
    <mergeCell ref="B26:C26"/>
    <mergeCell ref="E20:F2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M58"/>
  <sheetViews>
    <sheetView zoomScale="70" zoomScaleNormal="70" workbookViewId="0"/>
  </sheetViews>
  <sheetFormatPr defaultColWidth="8.6640625" defaultRowHeight="13.2" x14ac:dyDescent="0.25"/>
  <cols>
    <col min="1" max="1" width="2.109375" customWidth="1"/>
    <col min="2" max="2" width="58.6640625" customWidth="1"/>
    <col min="3" max="3" width="15.44140625" customWidth="1"/>
    <col min="4" max="4" width="2.109375" customWidth="1"/>
    <col min="5" max="5" width="92.21875" bestFit="1" customWidth="1"/>
    <col min="6" max="7" width="13.6640625" style="4" customWidth="1"/>
    <col min="8" max="8" width="13.6640625" customWidth="1"/>
    <col min="9" max="9" width="13.109375" customWidth="1"/>
    <col min="10" max="10" width="17.44140625" style="4" customWidth="1"/>
    <col min="11" max="11" width="14.6640625" customWidth="1"/>
    <col min="12" max="12" width="13.109375" customWidth="1"/>
    <col min="13" max="13" width="10.109375" bestFit="1" customWidth="1"/>
  </cols>
  <sheetData>
    <row r="1" spans="2:12" ht="19.5" customHeight="1" x14ac:dyDescent="0.3">
      <c r="B1" s="170" t="s">
        <v>131</v>
      </c>
      <c r="C1" s="170"/>
    </row>
    <row r="2" spans="2:12" ht="12.75" customHeight="1" x14ac:dyDescent="0.25">
      <c r="B2" s="103" t="s">
        <v>132</v>
      </c>
      <c r="C2" s="103"/>
      <c r="D2" s="103"/>
      <c r="E2" s="103"/>
      <c r="F2" s="103"/>
      <c r="G2" s="103"/>
      <c r="J2" s="103"/>
    </row>
    <row r="3" spans="2:12" ht="12.75" customHeight="1" thickBot="1" x14ac:dyDescent="0.3">
      <c r="E3" s="119"/>
      <c r="F3" s="119"/>
    </row>
    <row r="4" spans="2:12" ht="13.8" thickBot="1" x14ac:dyDescent="0.3">
      <c r="B4" s="214" t="s">
        <v>30</v>
      </c>
      <c r="C4" s="215"/>
      <c r="E4" s="195" t="s">
        <v>4</v>
      </c>
      <c r="F4" s="242"/>
      <c r="G4" s="242"/>
      <c r="H4" s="242"/>
      <c r="I4" s="242"/>
      <c r="J4" s="242"/>
      <c r="K4" s="242"/>
      <c r="L4" s="243"/>
    </row>
    <row r="5" spans="2:12" ht="13.8" thickBot="1" x14ac:dyDescent="0.3">
      <c r="C5" s="4"/>
    </row>
    <row r="6" spans="2:12" ht="45" customHeight="1" thickBot="1" x14ac:dyDescent="0.3">
      <c r="B6" s="159" t="s">
        <v>5</v>
      </c>
      <c r="C6" s="97" t="s">
        <v>7</v>
      </c>
      <c r="E6" s="173" t="s">
        <v>5</v>
      </c>
      <c r="F6" s="174" t="s">
        <v>141</v>
      </c>
      <c r="G6" s="175" t="s">
        <v>142</v>
      </c>
      <c r="H6" s="175" t="s">
        <v>143</v>
      </c>
      <c r="I6" s="250" t="s">
        <v>144</v>
      </c>
      <c r="J6" s="251"/>
      <c r="K6" s="175" t="s">
        <v>145</v>
      </c>
      <c r="L6" s="97" t="s">
        <v>51</v>
      </c>
    </row>
    <row r="7" spans="2:12" x14ac:dyDescent="0.25">
      <c r="B7" s="46"/>
      <c r="C7" s="84"/>
      <c r="E7" s="46"/>
      <c r="F7" s="87"/>
      <c r="G7" s="105"/>
      <c r="H7" s="110"/>
      <c r="I7" s="105"/>
      <c r="J7" s="105"/>
      <c r="K7" s="87"/>
      <c r="L7" s="110"/>
    </row>
    <row r="8" spans="2:12" x14ac:dyDescent="0.25">
      <c r="B8" s="51" t="s">
        <v>43</v>
      </c>
      <c r="C8" s="61">
        <f>'Длительность работ на местах'!C8/'Длительность работ на местах'!C16</f>
        <v>600</v>
      </c>
      <c r="E8" s="18" t="s">
        <v>146</v>
      </c>
      <c r="F8" s="76"/>
      <c r="G8" s="106"/>
      <c r="H8" s="81"/>
      <c r="I8" s="106"/>
      <c r="J8" s="106"/>
      <c r="K8" s="81"/>
      <c r="L8" s="81"/>
    </row>
    <row r="9" spans="2:12" x14ac:dyDescent="0.25">
      <c r="B9" s="51"/>
      <c r="C9" s="85"/>
      <c r="E9" s="115" t="s">
        <v>147</v>
      </c>
      <c r="F9" s="76"/>
      <c r="G9" s="106"/>
      <c r="H9" s="81"/>
      <c r="I9" s="106"/>
      <c r="J9" s="106"/>
      <c r="K9" s="81"/>
      <c r="L9" s="81"/>
    </row>
    <row r="10" spans="2:12" x14ac:dyDescent="0.25">
      <c r="B10" s="51" t="s">
        <v>133</v>
      </c>
      <c r="C10" s="61">
        <f>'Длительность работ на местах'!C12</f>
        <v>20</v>
      </c>
      <c r="E10" s="176" t="s">
        <v>148</v>
      </c>
      <c r="F10" s="53">
        <f>ROUNDUP($C$10*(1+$C$27),0)</f>
        <v>22</v>
      </c>
      <c r="G10" s="107">
        <f>F10/$C$10</f>
        <v>1.1000000000000001</v>
      </c>
      <c r="H10" s="151">
        <v>1120</v>
      </c>
      <c r="I10" s="107">
        <v>1</v>
      </c>
      <c r="J10" s="185" t="s">
        <v>180</v>
      </c>
      <c r="K10" s="112">
        <f>ROUNDUP(F10/I10,0)</f>
        <v>22</v>
      </c>
      <c r="L10" s="112">
        <f>H10*K10</f>
        <v>24640</v>
      </c>
    </row>
    <row r="11" spans="2:12" ht="13.8" thickBot="1" x14ac:dyDescent="0.3">
      <c r="B11" s="77"/>
      <c r="C11" s="86"/>
      <c r="E11" s="177" t="s">
        <v>149</v>
      </c>
      <c r="F11" s="53">
        <f>ROUNDUP($C$10*(1+$C$27),0)</f>
        <v>22</v>
      </c>
      <c r="G11" s="107">
        <f t="shared" ref="G11:G13" si="0">F11/$C$10</f>
        <v>1.1000000000000001</v>
      </c>
      <c r="H11" s="151">
        <v>4.2</v>
      </c>
      <c r="I11" s="107">
        <v>1</v>
      </c>
      <c r="J11" s="185" t="s">
        <v>180</v>
      </c>
      <c r="K11" s="112">
        <f>ROUNDUP(F11/I11,0)</f>
        <v>22</v>
      </c>
      <c r="L11" s="112">
        <f t="shared" ref="L11:L13" si="1">H11*K11</f>
        <v>92.4</v>
      </c>
    </row>
    <row r="12" spans="2:12" ht="13.95" customHeight="1" thickBot="1" x14ac:dyDescent="0.3">
      <c r="B12" s="63"/>
      <c r="C12" s="55"/>
      <c r="E12" s="178" t="s">
        <v>150</v>
      </c>
      <c r="F12" s="53">
        <f>ROUNDUP($C$10*(1+$C$27),0)</f>
        <v>22</v>
      </c>
      <c r="G12" s="107">
        <f>F12/$C$10</f>
        <v>1.1000000000000001</v>
      </c>
      <c r="H12" s="151">
        <v>37.79</v>
      </c>
      <c r="I12" s="107">
        <v>50</v>
      </c>
      <c r="J12" s="185" t="s">
        <v>181</v>
      </c>
      <c r="K12" s="112">
        <f>ROUNDUP(F12/I12,0)</f>
        <v>1</v>
      </c>
      <c r="L12" s="112">
        <f t="shared" si="1"/>
        <v>37.79</v>
      </c>
    </row>
    <row r="13" spans="2:12" ht="13.8" thickBot="1" x14ac:dyDescent="0.3">
      <c r="B13" s="193" t="s">
        <v>3</v>
      </c>
      <c r="C13" s="194"/>
      <c r="E13" s="179" t="s">
        <v>151</v>
      </c>
      <c r="F13" s="53">
        <f>ROUNDUP($C$10*(1+$C$27),0)</f>
        <v>22</v>
      </c>
      <c r="G13" s="107">
        <f t="shared" si="0"/>
        <v>1.1000000000000001</v>
      </c>
      <c r="H13" s="151">
        <v>24.43</v>
      </c>
      <c r="I13" s="107">
        <v>1</v>
      </c>
      <c r="J13" s="185" t="s">
        <v>180</v>
      </c>
      <c r="K13" s="112">
        <f>ROUNDUP(F13/I13,0)</f>
        <v>22</v>
      </c>
      <c r="L13" s="112">
        <f t="shared" si="1"/>
        <v>537.46</v>
      </c>
    </row>
    <row r="14" spans="2:12" ht="13.95" customHeight="1" thickBot="1" x14ac:dyDescent="0.3">
      <c r="C14" s="4"/>
      <c r="E14" s="91" t="s">
        <v>152</v>
      </c>
      <c r="F14" s="104"/>
      <c r="G14" s="108"/>
      <c r="H14" s="152"/>
      <c r="I14" s="108"/>
      <c r="J14" s="108"/>
      <c r="K14" s="104"/>
      <c r="L14" s="104">
        <f>SUM(L10:L13)</f>
        <v>25307.65</v>
      </c>
    </row>
    <row r="15" spans="2:12" ht="13.8" thickBot="1" x14ac:dyDescent="0.3">
      <c r="B15" s="36" t="s">
        <v>5</v>
      </c>
      <c r="C15" s="21" t="s">
        <v>7</v>
      </c>
      <c r="E15" s="1"/>
      <c r="F15" s="5"/>
      <c r="H15" s="153"/>
      <c r="J15" s="186"/>
      <c r="K15" s="1"/>
      <c r="L15" s="1"/>
    </row>
    <row r="16" spans="2:12" x14ac:dyDescent="0.25">
      <c r="B16" s="32"/>
      <c r="C16" s="87"/>
      <c r="E16" s="180" t="s">
        <v>153</v>
      </c>
      <c r="F16" s="82"/>
      <c r="G16" s="106"/>
      <c r="H16" s="154"/>
      <c r="I16" s="106"/>
      <c r="J16" s="187"/>
      <c r="K16" s="81"/>
      <c r="L16" s="81"/>
    </row>
    <row r="17" spans="2:13" ht="12.75" customHeight="1" x14ac:dyDescent="0.25">
      <c r="B17" s="171" t="s">
        <v>134</v>
      </c>
      <c r="C17" s="88">
        <v>5</v>
      </c>
      <c r="E17" s="115" t="s">
        <v>154</v>
      </c>
      <c r="F17" s="81"/>
      <c r="G17" s="106"/>
      <c r="H17" s="154"/>
      <c r="I17" s="106"/>
      <c r="J17" s="187"/>
      <c r="K17" s="81"/>
      <c r="L17" s="81"/>
    </row>
    <row r="18" spans="2:13" ht="12.75" customHeight="1" x14ac:dyDescent="0.25">
      <c r="B18" s="35"/>
      <c r="C18" s="76"/>
      <c r="E18" s="179" t="s">
        <v>155</v>
      </c>
      <c r="F18" s="53">
        <f>ROUNDUP(SUM(C17:C21)*C8*(1+C29),0)</f>
        <v>8250</v>
      </c>
      <c r="G18" s="107">
        <f>F18/$C$10</f>
        <v>412.5</v>
      </c>
      <c r="H18" s="151">
        <v>195.1</v>
      </c>
      <c r="I18" s="107">
        <v>150</v>
      </c>
      <c r="J18" s="188" t="s">
        <v>181</v>
      </c>
      <c r="K18" s="112">
        <f t="shared" ref="K18:K23" si="2">ROUNDUP(F18/I18,0)</f>
        <v>55</v>
      </c>
      <c r="L18" s="112">
        <f>H18*K18</f>
        <v>10730.5</v>
      </c>
      <c r="M18" s="129"/>
    </row>
    <row r="19" spans="2:13" ht="12.75" customHeight="1" x14ac:dyDescent="0.25">
      <c r="B19" s="35" t="s">
        <v>135</v>
      </c>
      <c r="C19" s="88">
        <v>5</v>
      </c>
      <c r="E19" s="179" t="s">
        <v>156</v>
      </c>
      <c r="F19" s="26">
        <f>ROUNDUP(SUM(C17:C21)*C8*(1+C29),0)</f>
        <v>8250</v>
      </c>
      <c r="G19" s="107">
        <f>F19/$C$10</f>
        <v>412.5</v>
      </c>
      <c r="H19" s="151">
        <v>1562.5</v>
      </c>
      <c r="I19" s="107">
        <v>1404</v>
      </c>
      <c r="J19" s="188" t="s">
        <v>181</v>
      </c>
      <c r="K19" s="112">
        <f t="shared" si="2"/>
        <v>6</v>
      </c>
      <c r="L19" s="112">
        <f t="shared" ref="L19:L23" si="3">H19*K19</f>
        <v>9375</v>
      </c>
    </row>
    <row r="20" spans="2:13" ht="12.75" customHeight="1" x14ac:dyDescent="0.25">
      <c r="B20" s="78"/>
      <c r="C20" s="81"/>
      <c r="E20" s="179" t="s">
        <v>161</v>
      </c>
      <c r="F20" s="136">
        <f>ROUNDUP(SUM(C17:C21)*C8*(1+C29),0)</f>
        <v>8250</v>
      </c>
      <c r="G20" s="107">
        <f t="shared" ref="G20:G23" si="4">F20/$C$10</f>
        <v>412.5</v>
      </c>
      <c r="H20" s="151">
        <v>6.81</v>
      </c>
      <c r="I20" s="107">
        <v>100</v>
      </c>
      <c r="J20" s="188" t="s">
        <v>181</v>
      </c>
      <c r="K20" s="112">
        <f t="shared" si="2"/>
        <v>83</v>
      </c>
      <c r="L20" s="112">
        <f t="shared" si="3"/>
        <v>565.23</v>
      </c>
    </row>
    <row r="21" spans="2:13" ht="12.75" customHeight="1" x14ac:dyDescent="0.25">
      <c r="B21" s="78" t="s">
        <v>136</v>
      </c>
      <c r="C21" s="88">
        <v>1</v>
      </c>
      <c r="E21" s="178" t="s">
        <v>157</v>
      </c>
      <c r="F21" s="136">
        <f>ROUNDUP(SUM(C17:C21)*C8*(1+C29),0)</f>
        <v>8250</v>
      </c>
      <c r="G21" s="107">
        <f t="shared" si="4"/>
        <v>412.5</v>
      </c>
      <c r="H21" s="151">
        <v>8.09</v>
      </c>
      <c r="I21" s="107">
        <v>100</v>
      </c>
      <c r="J21" s="188" t="s">
        <v>181</v>
      </c>
      <c r="K21" s="112">
        <f t="shared" si="2"/>
        <v>83</v>
      </c>
      <c r="L21" s="112">
        <f t="shared" si="3"/>
        <v>671.47</v>
      </c>
      <c r="M21" s="129"/>
    </row>
    <row r="22" spans="2:13" ht="12.75" customHeight="1" thickBot="1" x14ac:dyDescent="0.3">
      <c r="B22" s="34"/>
      <c r="C22" s="89"/>
      <c r="E22" s="179" t="s">
        <v>158</v>
      </c>
      <c r="F22" s="136">
        <f>ROUNDUP(SUM(C17:C19)*C8*(1+C29),0)</f>
        <v>7500</v>
      </c>
      <c r="G22" s="107">
        <f t="shared" si="4"/>
        <v>375</v>
      </c>
      <c r="H22" s="151">
        <v>80.849999999999994</v>
      </c>
      <c r="I22" s="107">
        <v>500</v>
      </c>
      <c r="J22" s="188" t="s">
        <v>181</v>
      </c>
      <c r="K22" s="112">
        <f t="shared" si="2"/>
        <v>15</v>
      </c>
      <c r="L22" s="112">
        <f t="shared" si="3"/>
        <v>1212.75</v>
      </c>
    </row>
    <row r="23" spans="2:13" ht="12.75" customHeight="1" x14ac:dyDescent="0.25">
      <c r="E23" s="181" t="s">
        <v>159</v>
      </c>
      <c r="F23" s="136">
        <f>ROUNDUP(SUM(C17:C21)*C8*(1+C29),0)</f>
        <v>8250</v>
      </c>
      <c r="G23" s="107">
        <f t="shared" si="4"/>
        <v>412.5</v>
      </c>
      <c r="H23" s="151">
        <v>0.88</v>
      </c>
      <c r="I23" s="107">
        <v>100</v>
      </c>
      <c r="J23" s="188" t="s">
        <v>181</v>
      </c>
      <c r="K23" s="112">
        <f t="shared" si="2"/>
        <v>83</v>
      </c>
      <c r="L23" s="112">
        <f t="shared" si="3"/>
        <v>73.040000000000006</v>
      </c>
    </row>
    <row r="24" spans="2:13" ht="12.75" customHeight="1" thickBot="1" x14ac:dyDescent="0.3">
      <c r="E24" s="91" t="s">
        <v>160</v>
      </c>
      <c r="F24" s="104"/>
      <c r="G24" s="108"/>
      <c r="H24" s="104"/>
      <c r="I24" s="108"/>
      <c r="J24" s="108"/>
      <c r="K24" s="104"/>
      <c r="L24" s="104">
        <f>SUM(L18:L23)</f>
        <v>22627.99</v>
      </c>
    </row>
    <row r="25" spans="2:13" ht="12.75" customHeight="1" thickBot="1" x14ac:dyDescent="0.3">
      <c r="B25" s="36" t="s">
        <v>5</v>
      </c>
      <c r="C25" s="21" t="s">
        <v>7</v>
      </c>
      <c r="E25" s="1"/>
      <c r="F25" s="5"/>
      <c r="H25" s="1"/>
      <c r="K25" s="1"/>
      <c r="L25" s="1"/>
      <c r="M25" s="129"/>
    </row>
    <row r="26" spans="2:13" ht="12.75" customHeight="1" x14ac:dyDescent="0.25">
      <c r="B26" s="32"/>
      <c r="C26" s="87"/>
      <c r="E26" s="18" t="s">
        <v>177</v>
      </c>
      <c r="F26" s="81"/>
      <c r="G26" s="106"/>
      <c r="H26" s="81"/>
      <c r="I26" s="106"/>
      <c r="J26" s="106"/>
      <c r="K26" s="81"/>
      <c r="L26" s="81">
        <f>(L14+L24)*0.1</f>
        <v>4793.5640000000003</v>
      </c>
    </row>
    <row r="27" spans="2:13" ht="12.75" customHeight="1" x14ac:dyDescent="0.25">
      <c r="B27" s="35" t="s">
        <v>137</v>
      </c>
      <c r="C27" s="155">
        <v>0.1</v>
      </c>
      <c r="E27" s="1"/>
      <c r="F27" s="81"/>
      <c r="G27" s="106"/>
      <c r="H27" s="81"/>
      <c r="I27" s="106"/>
      <c r="J27" s="106"/>
      <c r="K27" s="81"/>
      <c r="L27" s="81"/>
      <c r="M27" s="52"/>
    </row>
    <row r="28" spans="2:13" ht="12.75" customHeight="1" thickBot="1" x14ac:dyDescent="0.3">
      <c r="B28" s="35"/>
      <c r="C28" s="120"/>
      <c r="E28" s="2"/>
      <c r="F28" s="83"/>
      <c r="G28" s="109"/>
      <c r="H28" s="83"/>
      <c r="I28" s="109"/>
      <c r="J28" s="109"/>
      <c r="K28" s="83"/>
      <c r="L28" s="83"/>
    </row>
    <row r="29" spans="2:13" ht="12.75" customHeight="1" x14ac:dyDescent="0.25">
      <c r="B29" s="35" t="s">
        <v>138</v>
      </c>
      <c r="C29" s="155">
        <v>0.25</v>
      </c>
      <c r="K29" s="73"/>
      <c r="L29" s="93"/>
    </row>
    <row r="30" spans="2:13" ht="42.6" customHeight="1" thickBot="1" x14ac:dyDescent="0.3">
      <c r="B30" s="172" t="s">
        <v>139</v>
      </c>
      <c r="C30" s="121"/>
      <c r="E30" s="216" t="s">
        <v>162</v>
      </c>
      <c r="F30" s="226"/>
      <c r="G30" s="226"/>
      <c r="H30" s="217"/>
      <c r="J30"/>
      <c r="K30" s="182" t="s">
        <v>163</v>
      </c>
      <c r="L30" s="96">
        <f>L14+L24+L26</f>
        <v>52729.203999999998</v>
      </c>
      <c r="M30" s="52"/>
    </row>
    <row r="31" spans="2:13" ht="12.75" customHeight="1" x14ac:dyDescent="0.25">
      <c r="B31" s="156"/>
      <c r="C31" s="121"/>
      <c r="E31" s="210"/>
      <c r="F31" s="247"/>
      <c r="G31" s="247"/>
      <c r="H31" s="211"/>
      <c r="J31"/>
      <c r="K31" s="94"/>
      <c r="L31" s="95"/>
    </row>
    <row r="32" spans="2:13" ht="12.75" customHeight="1" x14ac:dyDescent="0.25">
      <c r="B32" s="35" t="s">
        <v>140</v>
      </c>
      <c r="C32" s="155">
        <v>0.1</v>
      </c>
      <c r="E32" s="212"/>
      <c r="F32" s="248"/>
      <c r="G32" s="248"/>
      <c r="H32" s="213"/>
      <c r="J32"/>
      <c r="K32" s="113"/>
      <c r="L32" s="114"/>
    </row>
    <row r="33" spans="2:12" ht="12.75" customHeight="1" thickBot="1" x14ac:dyDescent="0.3">
      <c r="B33" s="34"/>
      <c r="C33" s="89"/>
    </row>
    <row r="34" spans="2:12" ht="12.75" customHeight="1" thickBot="1" x14ac:dyDescent="0.3"/>
    <row r="35" spans="2:12" ht="13.8" thickBot="1" x14ac:dyDescent="0.3">
      <c r="E35" s="195" t="s">
        <v>4</v>
      </c>
      <c r="F35" s="242"/>
      <c r="G35" s="242"/>
      <c r="H35" s="242"/>
      <c r="I35" s="242"/>
      <c r="J35" s="242"/>
      <c r="K35" s="242"/>
      <c r="L35" s="243"/>
    </row>
    <row r="36" spans="2:12" ht="13.8" thickBot="1" x14ac:dyDescent="0.3"/>
    <row r="37" spans="2:12" ht="46.2" customHeight="1" thickBot="1" x14ac:dyDescent="0.3">
      <c r="E37" s="147" t="s">
        <v>5</v>
      </c>
      <c r="F37" s="174" t="s">
        <v>141</v>
      </c>
      <c r="G37" s="174" t="s">
        <v>142</v>
      </c>
      <c r="H37" s="174" t="s">
        <v>164</v>
      </c>
      <c r="I37" s="249" t="s">
        <v>144</v>
      </c>
      <c r="J37" s="249"/>
      <c r="K37" s="174" t="s">
        <v>145</v>
      </c>
      <c r="L37" s="21" t="s">
        <v>51</v>
      </c>
    </row>
    <row r="38" spans="2:12" x14ac:dyDescent="0.25">
      <c r="E38" s="148"/>
      <c r="F38" s="87"/>
      <c r="G38" s="105"/>
      <c r="H38" s="110"/>
      <c r="I38" s="105"/>
      <c r="J38" s="105"/>
      <c r="K38" s="87"/>
      <c r="L38" s="110"/>
    </row>
    <row r="39" spans="2:12" x14ac:dyDescent="0.25">
      <c r="E39" s="18" t="s">
        <v>165</v>
      </c>
      <c r="F39" s="82"/>
      <c r="G39" s="106"/>
      <c r="H39" s="111"/>
      <c r="I39" s="106"/>
      <c r="J39" s="106"/>
      <c r="K39" s="81"/>
      <c r="L39" s="81"/>
    </row>
    <row r="40" spans="2:12" x14ac:dyDescent="0.25">
      <c r="E40" s="115" t="s">
        <v>166</v>
      </c>
      <c r="F40" s="81"/>
      <c r="G40" s="106"/>
      <c r="H40" s="111"/>
      <c r="I40" s="106"/>
      <c r="J40" s="106"/>
      <c r="K40" s="81"/>
      <c r="L40" s="81"/>
    </row>
    <row r="41" spans="2:12" ht="13.8" x14ac:dyDescent="0.25">
      <c r="E41" s="183" t="s">
        <v>167</v>
      </c>
      <c r="F41" s="53">
        <f>ROUNDUP(5*C10*(1+C32),0)</f>
        <v>110</v>
      </c>
      <c r="G41" s="107">
        <f>F41/$C$10</f>
        <v>5.5</v>
      </c>
      <c r="H41" s="126">
        <v>3.18</v>
      </c>
      <c r="I41" s="107">
        <v>1</v>
      </c>
      <c r="J41" s="189" t="s">
        <v>182</v>
      </c>
      <c r="K41" s="112">
        <f t="shared" ref="K41:K48" si="5">ROUNDUP(F41/I41,0)</f>
        <v>110</v>
      </c>
      <c r="L41" s="112">
        <f>H41*K41</f>
        <v>349.8</v>
      </c>
    </row>
    <row r="42" spans="2:12" ht="13.8" x14ac:dyDescent="0.25">
      <c r="E42" s="183" t="s">
        <v>168</v>
      </c>
      <c r="F42" s="26">
        <f>ROUNDUP(C8*(1+C29),0)</f>
        <v>750</v>
      </c>
      <c r="G42" s="107">
        <f t="shared" ref="G42:G48" si="6">F42/$C$10</f>
        <v>37.5</v>
      </c>
      <c r="H42" s="126">
        <v>2.16</v>
      </c>
      <c r="I42" s="107">
        <v>30</v>
      </c>
      <c r="J42" s="189" t="s">
        <v>183</v>
      </c>
      <c r="K42" s="112">
        <f t="shared" si="5"/>
        <v>25</v>
      </c>
      <c r="L42" s="112">
        <f>H42*K42</f>
        <v>54</v>
      </c>
    </row>
    <row r="43" spans="2:12" ht="13.8" x14ac:dyDescent="0.25">
      <c r="E43" s="183" t="s">
        <v>169</v>
      </c>
      <c r="F43" s="136">
        <f>ROUNDUP(C10*3*(1+C32),0)</f>
        <v>66</v>
      </c>
      <c r="G43" s="107">
        <f t="shared" si="6"/>
        <v>3.3</v>
      </c>
      <c r="H43" s="126">
        <v>28.57</v>
      </c>
      <c r="I43" s="107">
        <v>10</v>
      </c>
      <c r="J43" s="189" t="s">
        <v>184</v>
      </c>
      <c r="K43" s="112">
        <f t="shared" si="5"/>
        <v>7</v>
      </c>
      <c r="L43" s="112">
        <f t="shared" ref="L43:L46" si="7">H43*K43</f>
        <v>199.99</v>
      </c>
    </row>
    <row r="44" spans="2:12" ht="13.8" x14ac:dyDescent="0.25">
      <c r="E44" s="183" t="s">
        <v>170</v>
      </c>
      <c r="F44" s="136">
        <f>ROUNDUP(C10*(1+C32),0)</f>
        <v>22</v>
      </c>
      <c r="G44" s="107">
        <f t="shared" si="6"/>
        <v>1.1000000000000001</v>
      </c>
      <c r="H44" s="126">
        <v>2.96</v>
      </c>
      <c r="I44" s="107">
        <v>1</v>
      </c>
      <c r="J44" s="189" t="s">
        <v>185</v>
      </c>
      <c r="K44" s="112">
        <f t="shared" si="5"/>
        <v>22</v>
      </c>
      <c r="L44" s="112">
        <f t="shared" si="7"/>
        <v>65.12</v>
      </c>
    </row>
    <row r="45" spans="2:12" ht="13.8" x14ac:dyDescent="0.25">
      <c r="E45" s="183" t="s">
        <v>171</v>
      </c>
      <c r="F45" s="136">
        <f>ROUNDUP(C10*12*(1+C32),0)</f>
        <v>264</v>
      </c>
      <c r="G45" s="107">
        <f t="shared" si="6"/>
        <v>13.2</v>
      </c>
      <c r="H45" s="126">
        <v>7.27</v>
      </c>
      <c r="I45" s="107">
        <v>1</v>
      </c>
      <c r="J45" s="189" t="s">
        <v>186</v>
      </c>
      <c r="K45" s="112">
        <f t="shared" si="5"/>
        <v>264</v>
      </c>
      <c r="L45" s="112">
        <f t="shared" si="7"/>
        <v>1919.28</v>
      </c>
    </row>
    <row r="46" spans="2:12" ht="13.8" x14ac:dyDescent="0.25">
      <c r="E46" s="183" t="s">
        <v>172</v>
      </c>
      <c r="F46" s="136">
        <f>ROUNDUP(C8*(1+C32),0)</f>
        <v>660</v>
      </c>
      <c r="G46" s="107">
        <f t="shared" si="6"/>
        <v>33</v>
      </c>
      <c r="H46" s="126">
        <v>3</v>
      </c>
      <c r="I46" s="107">
        <v>1</v>
      </c>
      <c r="J46" s="189" t="s">
        <v>182</v>
      </c>
      <c r="K46" s="112">
        <f t="shared" si="5"/>
        <v>660</v>
      </c>
      <c r="L46" s="112">
        <f t="shared" si="7"/>
        <v>1980</v>
      </c>
    </row>
    <row r="47" spans="2:12" ht="13.8" x14ac:dyDescent="0.25">
      <c r="E47" s="183" t="s">
        <v>173</v>
      </c>
      <c r="F47" s="136">
        <f>ROUNDUP(C10*2*(1+C32),0)</f>
        <v>44</v>
      </c>
      <c r="G47" s="107">
        <f t="shared" si="6"/>
        <v>2.2000000000000002</v>
      </c>
      <c r="H47" s="126">
        <v>2.66</v>
      </c>
      <c r="I47" s="107">
        <v>1</v>
      </c>
      <c r="J47" s="189" t="s">
        <v>185</v>
      </c>
      <c r="K47" s="112">
        <f t="shared" si="5"/>
        <v>44</v>
      </c>
      <c r="L47" s="112">
        <f>H47*K47</f>
        <v>117.04</v>
      </c>
    </row>
    <row r="48" spans="2:12" ht="13.8" x14ac:dyDescent="0.25">
      <c r="E48" s="183" t="s">
        <v>174</v>
      </c>
      <c r="F48" s="136">
        <f>ROUNDUP(C10*5*(1+C32),0)</f>
        <v>110</v>
      </c>
      <c r="G48" s="107">
        <f t="shared" si="6"/>
        <v>5.5</v>
      </c>
      <c r="H48" s="126">
        <v>9.1999999999999993</v>
      </c>
      <c r="I48" s="107">
        <v>10</v>
      </c>
      <c r="J48" s="189" t="s">
        <v>184</v>
      </c>
      <c r="K48" s="112">
        <f t="shared" si="5"/>
        <v>11</v>
      </c>
      <c r="L48" s="112">
        <f t="shared" ref="L48" si="8">H48*K48</f>
        <v>101.19999999999999</v>
      </c>
    </row>
    <row r="49" spans="5:12" x14ac:dyDescent="0.25">
      <c r="E49" s="91" t="s">
        <v>175</v>
      </c>
      <c r="F49" s="81"/>
      <c r="G49" s="106"/>
      <c r="H49" s="81"/>
      <c r="I49" s="106"/>
      <c r="J49" s="106"/>
      <c r="K49" s="81"/>
      <c r="L49" s="122">
        <f>SUM(L41:L48)</f>
        <v>4786.43</v>
      </c>
    </row>
    <row r="50" spans="5:12" x14ac:dyDescent="0.25">
      <c r="E50" s="18"/>
      <c r="F50" s="81"/>
      <c r="G50" s="106"/>
      <c r="H50" s="81"/>
      <c r="I50" s="106"/>
      <c r="J50" s="106"/>
      <c r="K50" s="81"/>
      <c r="L50" s="81"/>
    </row>
    <row r="51" spans="5:12" x14ac:dyDescent="0.25">
      <c r="E51" s="149" t="s">
        <v>176</v>
      </c>
      <c r="F51" s="123"/>
      <c r="G51" s="124"/>
      <c r="H51" s="123"/>
      <c r="I51" s="124"/>
      <c r="J51" s="124"/>
      <c r="K51" s="123"/>
      <c r="L51" s="123">
        <f>L49*0.1</f>
        <v>478.64300000000003</v>
      </c>
    </row>
    <row r="52" spans="5:12" ht="13.8" thickBot="1" x14ac:dyDescent="0.3">
      <c r="E52" s="150"/>
      <c r="F52" s="83"/>
      <c r="G52" s="109"/>
      <c r="H52" s="83"/>
      <c r="I52" s="109"/>
      <c r="J52" s="109"/>
      <c r="K52" s="83"/>
      <c r="L52" s="83"/>
    </row>
    <row r="53" spans="5:12" x14ac:dyDescent="0.25">
      <c r="K53" s="73"/>
      <c r="L53" s="93"/>
    </row>
    <row r="54" spans="5:12" ht="27" thickBot="1" x14ac:dyDescent="0.3">
      <c r="E54" s="216" t="s">
        <v>178</v>
      </c>
      <c r="F54" s="226"/>
      <c r="G54" s="226"/>
      <c r="H54" s="217"/>
      <c r="K54" s="182" t="s">
        <v>163</v>
      </c>
      <c r="L54" s="96">
        <f>SUM(L49+L51)</f>
        <v>5265.0730000000003</v>
      </c>
    </row>
    <row r="55" spans="5:12" x14ac:dyDescent="0.25">
      <c r="E55" s="210"/>
      <c r="F55" s="247"/>
      <c r="G55" s="247"/>
      <c r="H55" s="211"/>
      <c r="K55" s="127"/>
      <c r="L55" s="128"/>
    </row>
    <row r="56" spans="5:12" ht="20.25" customHeight="1" x14ac:dyDescent="0.25">
      <c r="E56" s="212"/>
      <c r="F56" s="248"/>
      <c r="G56" s="248"/>
      <c r="H56" s="213"/>
      <c r="K56" s="127"/>
      <c r="L56" s="128"/>
    </row>
    <row r="57" spans="5:12" ht="13.8" thickBot="1" x14ac:dyDescent="0.3"/>
    <row r="58" spans="5:12" ht="27" thickBot="1" x14ac:dyDescent="0.3">
      <c r="E58" s="244" t="s">
        <v>179</v>
      </c>
      <c r="F58" s="245"/>
      <c r="G58" s="245"/>
      <c r="H58" s="245"/>
      <c r="I58" s="245"/>
      <c r="J58" s="246"/>
      <c r="K58" s="184" t="s">
        <v>163</v>
      </c>
      <c r="L58" s="125">
        <f>L54+L30</f>
        <v>57994.277000000002</v>
      </c>
    </row>
  </sheetData>
  <mergeCells count="9">
    <mergeCell ref="B4:C4"/>
    <mergeCell ref="B13:C13"/>
    <mergeCell ref="E4:L4"/>
    <mergeCell ref="E58:J58"/>
    <mergeCell ref="E54:H56"/>
    <mergeCell ref="E35:L35"/>
    <mergeCell ref="I37:J37"/>
    <mergeCell ref="I6:J6"/>
    <mergeCell ref="E30:H3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EC757063D55EF14399B2E4B65561595A" ma:contentTypeVersion="44" ma:contentTypeDescription="Create a new document." ma:contentTypeScope="" ma:versionID="f088d1c313dae019cec36d5e09bab221">
  <xsd:schema xmlns:xsd="http://www.w3.org/2001/XMLSchema" xmlns:xs="http://www.w3.org/2001/XMLSchema" xmlns:p="http://schemas.microsoft.com/office/2006/metadata/properties" xmlns:ns1="http://schemas.microsoft.com/sharepoint/v3" xmlns:ns2="ca283e0b-db31-4043-a2ef-b80661bf084a" xmlns:ns3="http://schemas.microsoft.com/sharepoint.v3" xmlns:ns4="03aba595-bc08-4bc6-a067-44fa0d6fce4c" xmlns:ns5="2aac1c47-a7bd-4382-bbe6-d59290c165d5" xmlns:ns6="http://schemas.microsoft.com/sharepoint/v4" targetNamespace="http://schemas.microsoft.com/office/2006/metadata/properties" ma:root="true" ma:fieldsID="db600719480060cbce9e71b50f29348f" ns1:_="" ns2:_="" ns3:_="" ns4:_="" ns5:_="" ns6:_="">
    <xsd:import namespace="http://schemas.microsoft.com/sharepoint/v3"/>
    <xsd:import namespace="ca283e0b-db31-4043-a2ef-b80661bf084a"/>
    <xsd:import namespace="http://schemas.microsoft.com/sharepoint.v3"/>
    <xsd:import namespace="03aba595-bc08-4bc6-a067-44fa0d6fce4c"/>
    <xsd:import namespace="2aac1c47-a7bd-4382-bbe6-d59290c165d5"/>
    <xsd:import namespace="http://schemas.microsoft.com/sharepoint/v4"/>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2:j169e817e0ee4eb8974e6fc4a2762909" minOccurs="0"/>
                <xsd:element ref="ns2:j048a4f9aaad4a8990a1d5e5f53cb451" minOccurs="0"/>
                <xsd:element ref="ns5:MediaServiceGenerationTime" minOccurs="0"/>
                <xsd:element ref="ns5:MediaServiceEventHashCode" minOccurs="0"/>
                <xsd:element ref="ns1:_vti_ItemHoldRecordStatus" minOccurs="0"/>
                <xsd:element ref="ns6:IconOverlay" minOccurs="0"/>
                <xsd:element ref="ns5:MediaServiceMetadata" minOccurs="0"/>
                <xsd:element ref="ns1:_vti_ItemDeclaredRecord" minOccurs="0"/>
                <xsd:element ref="ns4:TaxKeywordTaxHTField" minOccurs="0"/>
                <xsd:element ref="ns4:SharedWithDetails" minOccurs="0"/>
                <xsd:element ref="ns4:SharedWithUsers" minOccurs="0"/>
                <xsd:element ref="ns5:MediaServiceLocation" minOccurs="0"/>
                <xsd:element ref="ns5:MediaServiceAutoKeyPoints" minOccurs="0"/>
                <xsd:element ref="ns5:MediaServiceKeyPoints" minOccurs="0"/>
                <xsd:element ref="ns5:MediaServiceFastMetadata" minOccurs="0"/>
                <xsd:element ref="ns5:MediaServiceAutoTags" minOccurs="0"/>
                <xsd:element ref="ns5:MediaServiceOCR" minOccurs="0"/>
                <xsd:element ref="ns5:MediaServiceDateTaken" minOccurs="0"/>
                <xsd:element ref="ns4:SemaphoreItemMetadata" minOccurs="0"/>
                <xsd:element ref="ns5:MediaLengthInSeconds" minOccurs="0"/>
                <xsd:element ref="ns5:lcf76f155ced4ddcb4097134ff3c332f" minOccurs="0"/>
                <xsd:element ref="ns5: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HoldRecordStatus" ma:index="33" nillable="true" ma:displayName="Hold and Record Status" ma:decimals="0" ma:description="" ma:hidden="true" ma:indexed="true" ma:internalName="_vti_ItemHoldRecordStatus" ma:readOnly="true">
      <xsd:simpleType>
        <xsd:restriction base="dms:Unknown"/>
      </xsd:simpleType>
    </xsd:element>
    <xsd:element name="_vti_ItemDeclaredRecord" ma:index="36"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default="English" ma:format="RadioButtons" ma:indexed="true" ma:internalName="ContentLanguag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default="178;#Analysis,Planning &amp; Monitoring-456C|5955b2fd-5d7f-4ec6-8d67-6bd2d19d2fcb"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indexed="tru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f18c69bd-8d9b-48fb-bf08-f87e298dbead}" ma:internalName="TaxCatchAllLabel" ma:readOnly="true" ma:showField="CatchAllDataLabel" ma:web="03aba595-bc08-4bc6-a067-44fa0d6fce4c">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f18c69bd-8d9b-48fb-bf08-f87e298dbead}" ma:internalName="TaxCatchAll" ma:showField="CatchAllData" ma:web="03aba595-bc08-4bc6-a067-44fa0d6fce4c">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element name="j169e817e0ee4eb8974e6fc4a2762909" ma:index="26" nillable="true" ma:taxonomy="true" ma:internalName="j169e817e0ee4eb8974e6fc4a2762909" ma:taxonomyFieldName="CriticalForLongTermRetention" ma:displayName="Critical for long-term retention?" ma:default="" ma:fieldId="{3169e817-e0ee-4eb8-974e-6fc4a2762909}" ma:sspId="73f51738-d318-4883-9d64-4f0bd0ccc55e" ma:termSetId="59f85175-3dbf-4592-9c1d-453af9da4e8b" ma:anchorId="00000000-0000-0000-0000-000000000000" ma:open="false" ma:isKeyword="false">
      <xsd:complexType>
        <xsd:sequence>
          <xsd:element ref="pc:Terms" minOccurs="0" maxOccurs="1"/>
        </xsd:sequence>
      </xsd:complexType>
    </xsd:element>
    <xsd:element name="j048a4f9aaad4a8990a1d5e5f53cb451" ma:index="28" nillable="true" ma:taxonomy="true" ma:internalName="j048a4f9aaad4a8990a1d5e5f53cb451" ma:taxonomyFieldName="SystemDTAC" ma:displayName="System-DT-AC" ma:default="" ma:fieldId="{3048a4f9-aaad-4a89-90a1-d5e5f53cb451}" ma:sspId="73f51738-d318-4883-9d64-4f0bd0ccc55e" ma:termSetId="1e3381f3-a35f-499a-9a3c-017e5423e0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3aba595-bc08-4bc6-a067-44fa0d6fce4c" elementFormDefault="qualified">
    <xsd:import namespace="http://schemas.microsoft.com/office/2006/documentManagement/types"/>
    <xsd:import namespace="http://schemas.microsoft.com/office/infopath/2007/PartnerControls"/>
    <xsd:element name="TaxKeywordTaxHTField" ma:index="37"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element name="SharedWithDetails" ma:index="38" nillable="true" ma:displayName="Shared With Details" ma:internalName="SharedWithDetails" ma:readOnly="true">
      <xsd:simpleType>
        <xsd:restriction base="dms:Note">
          <xsd:maxLength value="255"/>
        </xsd:restriction>
      </xsd:simpleType>
    </xsd:element>
    <xsd:element name="SharedWithUsers" ma:index="3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emaphoreItemMetadata" ma:index="47" nillable="true" ma:displayName="Semaphore Status" ma:hidden="true" ma:internalName="SemaphoreItem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aac1c47-a7bd-4382-bbe6-d59290c165d5" elementFormDefault="qualified">
    <xsd:import namespace="http://schemas.microsoft.com/office/2006/documentManagement/types"/>
    <xsd:import namespace="http://schemas.microsoft.com/office/infopath/2007/PartnerControls"/>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Metadata" ma:index="35" nillable="true" ma:displayName="MediaServiceMetadata" ma:hidden="true" ma:internalName="MediaServiceMetadata" ma:readOnly="true">
      <xsd:simpleType>
        <xsd:restriction base="dms:Note"/>
      </xsd:simpleType>
    </xsd:element>
    <xsd:element name="MediaServiceLocation" ma:index="40" nillable="true" ma:displayName="Location" ma:internalName="MediaServiceLocation" ma:readOnly="true">
      <xsd:simpleType>
        <xsd:restriction base="dms:Text"/>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internalName="MediaServiceKeyPoints" ma:readOnly="true">
      <xsd:simpleType>
        <xsd:restriction base="dms:Note">
          <xsd:maxLength value="255"/>
        </xsd:restriction>
      </xsd:simpleType>
    </xsd:element>
    <xsd:element name="MediaServiceFastMetadata" ma:index="43" nillable="true" ma:displayName="MediaServiceFastMetadata" ma:hidden="true" ma:internalName="MediaServiceFastMetadata" ma:readOnly="true">
      <xsd:simpleType>
        <xsd:restriction base="dms:Note"/>
      </xsd:simpleType>
    </xsd:element>
    <xsd:element name="MediaServiceAutoTags" ma:index="44" nillable="true" ma:displayName="Tags" ma:internalName="MediaServiceAutoTags" ma:readOnly="true">
      <xsd:simpleType>
        <xsd:restriction base="dms:Text"/>
      </xsd:simpleType>
    </xsd:element>
    <xsd:element name="MediaServiceOCR" ma:index="45" nillable="true" ma:displayName="Extracted Text" ma:internalName="MediaServiceOCR" ma:readOnly="true">
      <xsd:simpleType>
        <xsd:restriction base="dms:Note">
          <xsd:maxLength value="255"/>
        </xsd:restriction>
      </xsd:simpleType>
    </xsd:element>
    <xsd:element name="MediaServiceDateTaken" ma:index="46" nillable="true" ma:displayName="MediaServiceDateTaken" ma:hidden="true" ma:internalName="MediaServiceDateTaken" ma:readOnly="true">
      <xsd:simpleType>
        <xsd:restriction base="dms:Text"/>
      </xsd:simpleType>
    </xsd:element>
    <xsd:element name="MediaLengthInSeconds" ma:index="48" nillable="true" ma:displayName="Length (seconds)" ma:internalName="MediaLengthInSeconds" ma:readOnly="true">
      <xsd:simpleType>
        <xsd:restriction base="dms:Unknown"/>
      </xsd:simpleType>
    </xsd:element>
    <xsd:element name="lcf76f155ced4ddcb4097134ff3c332f" ma:index="50" nillable="true" ma:taxonomy="true" ma:internalName="lcf76f155ced4ddcb4097134ff3c332f" ma:taxonomyFieldName="MediaServiceImageTags" ma:displayName="Image Tags" ma:readOnly="false" ma:fieldId="{5cf76f15-5ced-4ddc-b409-7134ff3c332f}" ma:taxonomyMulti="true" ma:sspId="73f51738-d318-4883-9d64-4f0bd0ccc55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5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spe:Receivers xmlns:spe="http://schemas.microsoft.com/sharepoint/events"/>
</file>

<file path=customXml/item4.xml><?xml version="1.0" encoding="utf-8"?>
<p:properties xmlns:p="http://schemas.microsoft.com/office/2006/metadata/properties" xmlns:xsi="http://www.w3.org/2001/XMLSchema-instance" xmlns:pc="http://schemas.microsoft.com/office/infopath/2007/PartnerControls">
  <documentManagement>
    <TaxCatchAll xmlns="ca283e0b-db31-4043-a2ef-b80661bf084a">
      <Value>3</Value>
      <Value>23</Value>
    </TaxCatchAll>
    <ga975397408f43e4b84ec8e5a598e523 xmlns="ca283e0b-db31-4043-a2ef-b80661bf084a">
      <Terms xmlns="http://schemas.microsoft.com/office/infopath/2007/PartnerControls">
        <TermInfo xmlns="http://schemas.microsoft.com/office/infopath/2007/PartnerControls">
          <TermName xmlns="http://schemas.microsoft.com/office/infopath/2007/PartnerControls">Analysis,Planning &amp; Monitoring-456C</TermName>
          <TermId xmlns="http://schemas.microsoft.com/office/infopath/2007/PartnerControls">5955b2fd-5d7f-4ec6-8d67-6bd2d19d2fcb</TermId>
        </TermInfo>
      </Terms>
    </ga975397408f43e4b84ec8e5a598e523>
    <k8c968e8c72a4eda96b7e8fdbe192be2 xmlns="ca283e0b-db31-4043-a2ef-b80661bf084a">
      <Terms xmlns="http://schemas.microsoft.com/office/infopath/2007/PartnerControls"/>
    </k8c968e8c72a4eda96b7e8fdbe192be2>
    <j169e817e0ee4eb8974e6fc4a2762909 xmlns="ca283e0b-db31-4043-a2ef-b80661bf084a">
      <Terms xmlns="http://schemas.microsoft.com/office/infopath/2007/PartnerControls"/>
    </j169e817e0ee4eb8974e6fc4a2762909>
    <DateTransmittedEmail xmlns="ca283e0b-db31-4043-a2ef-b80661bf084a" xsi:nil="true"/>
    <ContentStatus xmlns="ca283e0b-db31-4043-a2ef-b80661bf084a" xsi:nil="true"/>
    <SenderEmail xmlns="ca283e0b-db31-4043-a2ef-b80661bf084a" xsi:nil="true"/>
    <IconOverlay xmlns="http://schemas.microsoft.com/sharepoint/v4" xsi:nil="true"/>
    <ContentLanguage xmlns="ca283e0b-db31-4043-a2ef-b80661bf084a">English</ContentLanguage>
    <j048a4f9aaad4a8990a1d5e5f53cb451 xmlns="ca283e0b-db31-4043-a2ef-b80661bf084a">
      <Terms xmlns="http://schemas.microsoft.com/office/infopath/2007/PartnerControls"/>
    </j048a4f9aaad4a8990a1d5e5f53cb451>
    <h6a71f3e574e4344bc34f3fc9dd20054 xmlns="ca283e0b-db31-4043-a2ef-b80661bf084a">
      <Terms xmlns="http://schemas.microsoft.com/office/infopath/2007/PartnerControls"/>
    </h6a71f3e574e4344bc34f3fc9dd20054>
    <CategoryDescription xmlns="http://schemas.microsoft.com/sharepoint.v3" xsi:nil="true"/>
    <RecipientsEmail xmlns="ca283e0b-db31-4043-a2ef-b80661bf084a" xsi:nil="true"/>
    <mda26ace941f4791a7314a339fee829c xmlns="ca283e0b-db31-4043-a2ef-b80661bf084a">
      <Terms xmlns="http://schemas.microsoft.com/office/infopath/2007/PartnerControls"/>
    </mda26ace941f4791a7314a339fee829c>
    <WrittenBy xmlns="ca283e0b-db31-4043-a2ef-b80661bf084a">
      <UserInfo>
        <DisplayName/>
        <AccountId xsi:nil="true"/>
        <AccountType/>
      </UserInfo>
    </WrittenBy>
    <TaxKeywordTaxHTField xmlns="03aba595-bc08-4bc6-a067-44fa0d6fce4c">
      <Terms xmlns="http://schemas.microsoft.com/office/infopath/2007/PartnerControls">
        <TermInfo xmlns="http://schemas.microsoft.com/office/infopath/2007/PartnerControls">
          <TermName xmlns="http://schemas.microsoft.com/office/infopath/2007/PartnerControls">MICS6</TermName>
          <TermId xmlns="http://schemas.microsoft.com/office/infopath/2007/PartnerControls">fa90bbfa-5261-4494-8646-ce8b234e25fe</TermId>
        </TermInfo>
      </Terms>
    </TaxKeywordTaxHTField>
    <SemaphoreItemMetadata xmlns="03aba595-bc08-4bc6-a067-44fa0d6fce4c" xsi:nil="true"/>
    <lcf76f155ced4ddcb4097134ff3c332f xmlns="2aac1c47-a7bd-4382-bbe6-d59290c165d5">
      <Terms xmlns="http://schemas.microsoft.com/office/infopath/2007/PartnerControls"/>
    </lcf76f155ced4ddcb4097134ff3c332f>
  </documentManagement>
</p:properties>
</file>

<file path=customXml/item5.xml><?xml version="1.0" encoding="utf-8"?>
<?mso-contentType ?>
<SharedContentType xmlns="Microsoft.SharePoint.Taxonomy.ContentTypeSync" SourceId="73f51738-d318-4883-9d64-4f0bd0ccc55e" ContentTypeId="0x0101009BA85F8052A6DA4FA3E31FF9F74C6970" PreviousValue="false"/>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665C33-9E3A-4322-A48E-645025C11B98}"/>
</file>

<file path=customXml/itemProps2.xml><?xml version="1.0" encoding="utf-8"?>
<ds:datastoreItem xmlns:ds="http://schemas.openxmlformats.org/officeDocument/2006/customXml" ds:itemID="{8FA3D134-EA3B-4361-93B9-C79533C5E4FC}">
  <ds:schemaRefs>
    <ds:schemaRef ds:uri="http://schemas.microsoft.com/office/2006/metadata/customXsn"/>
  </ds:schemaRefs>
</ds:datastoreItem>
</file>

<file path=customXml/itemProps3.xml><?xml version="1.0" encoding="utf-8"?>
<ds:datastoreItem xmlns:ds="http://schemas.openxmlformats.org/officeDocument/2006/customXml" ds:itemID="{F9C818A3-9040-415E-A2A4-721A6B6E7033}"/>
</file>

<file path=customXml/itemProps4.xml><?xml version="1.0" encoding="utf-8"?>
<ds:datastoreItem xmlns:ds="http://schemas.openxmlformats.org/officeDocument/2006/customXml" ds:itemID="{50143DA2-6EBF-4DEB-B884-409EB09311B6}">
  <ds:schemaRefs>
    <ds:schemaRef ds:uri="http://schemas.microsoft.com/office/2006/metadata/properties"/>
    <ds:schemaRef ds:uri="http://schemas.microsoft.com/office/infopath/2007/PartnerControls"/>
    <ds:schemaRef ds:uri="03aba595-bc08-4bc6-a067-44fa0d6fce4c"/>
    <ds:schemaRef ds:uri="ca283e0b-db31-4043-a2ef-b80661bf084a"/>
    <ds:schemaRef ds:uri="http://schemas.microsoft.com/sharepoint/v4"/>
    <ds:schemaRef ds:uri="http://schemas.microsoft.com/sharepoint.v3"/>
    <ds:schemaRef ds:uri="2aac1c47-a7bd-4382-bbe6-d59290c165d5"/>
  </ds:schemaRefs>
</ds:datastoreItem>
</file>

<file path=customXml/itemProps5.xml><?xml version="1.0" encoding="utf-8"?>
<ds:datastoreItem xmlns:ds="http://schemas.openxmlformats.org/officeDocument/2006/customXml" ds:itemID="{5D9D7957-DFC6-4366-89DC-CD92BC03BFCF}">
  <ds:schemaRefs>
    <ds:schemaRef ds:uri="Microsoft.SharePoint.Taxonomy.ContentTypeSync"/>
  </ds:schemaRefs>
</ds:datastoreItem>
</file>

<file path=customXml/itemProps6.xml><?xml version="1.0" encoding="utf-8"?>
<ds:datastoreItem xmlns:ds="http://schemas.openxmlformats.org/officeDocument/2006/customXml" ds:itemID="{C63C105C-76B5-4A72-8FA8-188F204B94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Длительность работ на местах</vt:lpstr>
      <vt:lpstr>Персонал на местах</vt:lpstr>
      <vt:lpstr>Длит-ть составления списков</vt:lpstr>
      <vt:lpstr>Персонал для составл-я списков</vt:lpstr>
      <vt:lpstr>Предметы снабжения</vt:lpstr>
      <vt:lpstr>Предметы снабж-я для планшетов</vt:lpstr>
      <vt:lpstr>Дополнительные предметы снабжен</vt:lpstr>
      <vt:lpstr>Качество воды</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UNICEF-MICS</dc:creator>
  <cp:keywords>MICS6</cp:keywords>
  <dc:description/>
  <cp:lastModifiedBy>Ana Abdelbasit</cp:lastModifiedBy>
  <cp:revision/>
  <dcterms:created xsi:type="dcterms:W3CDTF">2005-05-03T23:15:00Z</dcterms:created>
  <dcterms:modified xsi:type="dcterms:W3CDTF">2023-12-04T17:25:57Z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0x0101009BA85F8052A6DA4FA3E31FF9F74C697000EC757063D55EF14399B2E4B65561595A</vt:lpwstr>
  </property>
  <property fmtid="{D5CDD505-2E9C-101B-9397-08002B2CF9AE}" pid="3" name="SystemDTAC">
    <vt:lpwstr/>
  </property>
  <property fmtid="{D5CDD505-2E9C-101B-9397-08002B2CF9AE}" pid="4" name="TaxKeyword">
    <vt:lpwstr>23;#MICS6|fa90bbfa-5261-4494-8646-ce8b234e25fe</vt:lpwstr>
  </property>
  <property fmtid="{D5CDD505-2E9C-101B-9397-08002B2CF9AE}" pid="5" name="Topic">
    <vt:lpwstr/>
  </property>
  <property fmtid="{D5CDD505-2E9C-101B-9397-08002B2CF9AE}" pid="6" name="MediaServiceImageTags">
    <vt:lpwstr/>
  </property>
  <property fmtid="{D5CDD505-2E9C-101B-9397-08002B2CF9AE}" pid="7" name="OfficeDivision">
    <vt:lpwstr>3;#Analysis,Planning &amp; Monitoring-456C|5955b2fd-5d7f-4ec6-8d67-6bd2d19d2fcb</vt:lpwstr>
  </property>
  <property fmtid="{D5CDD505-2E9C-101B-9397-08002B2CF9AE}" pid="8" name="CriticalForLongTermRetention">
    <vt:lpwstr/>
  </property>
  <property fmtid="{D5CDD505-2E9C-101B-9397-08002B2CF9AE}" pid="9" name="DocumentType">
    <vt:lpwstr/>
  </property>
  <property fmtid="{D5CDD505-2E9C-101B-9397-08002B2CF9AE}" pid="10" name="GeographicScope">
    <vt:lpwstr/>
  </property>
</Properties>
</file>