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412"/>
  <workbookPr/>
  <mc:AlternateContent xmlns:mc="http://schemas.openxmlformats.org/markup-compatibility/2006">
    <mc:Choice Requires="x15">
      <x15ac:absPath xmlns:x15ac="http://schemas.microsoft.com/office/spreadsheetml/2010/11/ac" url="https://d.docs.live.net/c5e66e1041c088c3/Desktop/MICS7 tools/"/>
    </mc:Choice>
  </mc:AlternateContent>
  <xr:revisionPtr revIDLastSave="0" documentId="8_{122B4677-7BEE-4C97-BADA-0AD9E7BC2FF2}" xr6:coauthVersionLast="47" xr6:coauthVersionMax="47" xr10:uidLastSave="{00000000-0000-0000-0000-000000000000}"/>
  <bookViews>
    <workbookView xWindow="-120" yWindow="-120" windowWidth="29040" windowHeight="15720" tabRatio="755" firstSheet="7" activeTab="7" xr2:uid="{00000000-000D-0000-FFFF-FFFF00000000}"/>
  </bookViews>
  <sheets>
    <sheet name="Fieldwork Duration" sheetId="18" r:id="rId1"/>
    <sheet name="Fieldwork Staff" sheetId="8" r:id="rId2"/>
    <sheet name="Listing Duration" sheetId="17" r:id="rId3"/>
    <sheet name="Listing Staff" sheetId="11" r:id="rId4"/>
    <sheet name="Supplies" sheetId="7" r:id="rId5"/>
    <sheet name="Tablet Supplies Main" sheetId="15" r:id="rId6"/>
    <sheet name="Optional supplies" sheetId="21" r:id="rId7"/>
    <sheet name="Water Quality Supplies" sheetId="14" r:id="rId8"/>
  </sheets>
  <definedNames>
    <definedName name="Print_Titles_MI" localSheetId="7">#REF!</definedName>
    <definedName name="Print_Titles_MI">#REF!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 i="14" l="1"/>
  <c r="F23" i="14" s="1"/>
  <c r="F19" i="14" l="1"/>
  <c r="F18" i="14"/>
  <c r="C6" i="17" l="1"/>
  <c r="F14" i="18"/>
  <c r="F10" i="7"/>
  <c r="F8" i="7"/>
  <c r="C18" i="21"/>
  <c r="C16" i="21"/>
  <c r="C8" i="21"/>
  <c r="F10" i="18" l="1"/>
  <c r="F12" i="18" s="1"/>
  <c r="F16" i="18" s="1"/>
  <c r="F21" i="18" l="1"/>
  <c r="F17" i="18"/>
  <c r="F19" i="18" s="1"/>
  <c r="F8" i="18"/>
  <c r="C20" i="15" l="1"/>
  <c r="C16" i="15"/>
  <c r="C14" i="7"/>
  <c r="F29" i="8" l="1"/>
  <c r="C16" i="8"/>
  <c r="C14" i="8"/>
  <c r="C10" i="8"/>
  <c r="C8" i="8"/>
  <c r="C10" i="11"/>
  <c r="C10" i="14"/>
  <c r="F13" i="17"/>
  <c r="F15" i="17" s="1"/>
  <c r="F19" i="17" s="1"/>
  <c r="F10" i="14" l="1"/>
  <c r="F11" i="14"/>
  <c r="F12" i="14"/>
  <c r="F13" i="14"/>
  <c r="F43" i="14"/>
  <c r="F48" i="14"/>
  <c r="F47" i="14"/>
  <c r="F44" i="14"/>
  <c r="F41" i="14"/>
  <c r="C20" i="21"/>
  <c r="F9" i="11"/>
  <c r="F17" i="17"/>
  <c r="C12" i="11" s="1"/>
  <c r="C8" i="11"/>
  <c r="F42" i="14" l="1"/>
  <c r="F46" i="14"/>
  <c r="F11" i="8"/>
  <c r="C12" i="8"/>
  <c r="F10" i="11" l="1"/>
  <c r="F11" i="11"/>
  <c r="F28" i="8"/>
  <c r="F24" i="11"/>
  <c r="F23" i="11"/>
  <c r="F21" i="11" l="1"/>
  <c r="F8" i="21"/>
  <c r="F20" i="11"/>
  <c r="F8" i="8"/>
  <c r="F21" i="14"/>
  <c r="G21" i="14" s="1"/>
  <c r="F20" i="14"/>
  <c r="G20" i="14" s="1"/>
  <c r="G19" i="14"/>
  <c r="G18" i="14"/>
  <c r="K42" i="14"/>
  <c r="L42" i="14" s="1"/>
  <c r="G23" i="14"/>
  <c r="F22" i="14"/>
  <c r="G22" i="14" s="1"/>
  <c r="G11" i="14"/>
  <c r="G13" i="14"/>
  <c r="F45" i="14"/>
  <c r="G10" i="14"/>
  <c r="F19" i="11"/>
  <c r="F12" i="11"/>
  <c r="G12" i="14" l="1"/>
  <c r="K12" i="14"/>
  <c r="L12" i="14" s="1"/>
  <c r="C14" i="21"/>
  <c r="C10" i="21"/>
  <c r="C12" i="21"/>
  <c r="F15" i="21"/>
  <c r="F13" i="21"/>
  <c r="F11" i="21"/>
  <c r="K21" i="14"/>
  <c r="L21" i="14" s="1"/>
  <c r="K11" i="14"/>
  <c r="L11" i="14" s="1"/>
  <c r="K41" i="14"/>
  <c r="L41" i="14" s="1"/>
  <c r="G41" i="14"/>
  <c r="G42" i="14"/>
  <c r="K10" i="14"/>
  <c r="L10" i="14" s="1"/>
  <c r="K22" i="14"/>
  <c r="L22" i="14" s="1"/>
  <c r="K19" i="14"/>
  <c r="L19" i="14" s="1"/>
  <c r="K23" i="14"/>
  <c r="L23" i="14" s="1"/>
  <c r="K48" i="14"/>
  <c r="L48" i="14" s="1"/>
  <c r="G48" i="14"/>
  <c r="K45" i="14"/>
  <c r="L45" i="14" s="1"/>
  <c r="G45" i="14"/>
  <c r="K18" i="14"/>
  <c r="L18" i="14" s="1"/>
  <c r="K13" i="14"/>
  <c r="L13" i="14" s="1"/>
  <c r="K47" i="14"/>
  <c r="L47" i="14" s="1"/>
  <c r="G47" i="14"/>
  <c r="K20" i="14"/>
  <c r="L20" i="14" s="1"/>
  <c r="K44" i="14"/>
  <c r="L44" i="14" s="1"/>
  <c r="G44" i="14"/>
  <c r="K43" i="14"/>
  <c r="L43" i="14" s="1"/>
  <c r="G43" i="14"/>
  <c r="K46" i="14"/>
  <c r="L46" i="14" s="1"/>
  <c r="G46" i="14"/>
  <c r="F9" i="8"/>
  <c r="F10" i="8" s="1"/>
  <c r="F12" i="8" s="1"/>
  <c r="F13" i="11"/>
  <c r="F22" i="11"/>
  <c r="F25" i="11" s="1"/>
  <c r="L24" i="14" l="1"/>
  <c r="L49" i="14"/>
  <c r="L14" i="14"/>
  <c r="F16" i="8"/>
  <c r="F15" i="8"/>
  <c r="F24" i="8" s="1"/>
  <c r="F17" i="8"/>
  <c r="F26" i="8" l="1"/>
  <c r="C8" i="7"/>
  <c r="C10" i="7"/>
  <c r="L26" i="14"/>
  <c r="L30" i="14" s="1"/>
  <c r="L51" i="14"/>
  <c r="L54" i="14" s="1"/>
  <c r="F18" i="8"/>
  <c r="F25" i="8"/>
  <c r="C12" i="7" s="1"/>
  <c r="C18" i="15" s="1"/>
  <c r="F19" i="8" l="1"/>
  <c r="F27" i="8"/>
  <c r="F30" i="8" s="1"/>
  <c r="L58" i="14"/>
  <c r="C14" i="15" l="1"/>
  <c r="C12" i="15"/>
  <c r="C8" i="15"/>
  <c r="C10" i="15"/>
</calcChain>
</file>

<file path=xl/sharedStrings.xml><?xml version="1.0" encoding="utf-8"?>
<sst xmlns="http://schemas.openxmlformats.org/spreadsheetml/2006/main" count="280" uniqueCount="193">
  <si>
    <t xml:space="preserve">Template for calculating the duration of fieldwork </t>
  </si>
  <si>
    <t>Enter values from the MICS survey plan into the input value table. The corresponding estimates of fieldwork duration will be shown in the output value table. This spreadsheet serves as input to the other sheets in the workbook. It is therefore advisable to first enter data here and later continuously confirm that the correct values are entered in inputs here.</t>
  </si>
  <si>
    <t>INPUT VALUES</t>
  </si>
  <si>
    <t>OUTPUT VALUES</t>
  </si>
  <si>
    <t>Parameter</t>
  </si>
  <si>
    <t>Value</t>
  </si>
  <si>
    <t>Estimates</t>
  </si>
  <si>
    <t>Number of households (Total sample size)</t>
  </si>
  <si>
    <t>Total number of working days needed</t>
  </si>
  <si>
    <r>
      <t>Number of households to be completed per day per interviewer</t>
    </r>
    <r>
      <rPr>
        <vertAlign val="superscript"/>
        <sz val="10"/>
        <rFont val="Arial"/>
        <family val="2"/>
      </rPr>
      <t>1</t>
    </r>
    <r>
      <rPr>
        <sz val="10"/>
        <rFont val="Arial"/>
        <family val="2"/>
      </rPr>
      <t xml:space="preserve"> (net)</t>
    </r>
  </si>
  <si>
    <t>Number of households completed per day per team</t>
  </si>
  <si>
    <r>
      <t>Number of fieldwork teams</t>
    </r>
    <r>
      <rPr>
        <vertAlign val="superscript"/>
        <sz val="10"/>
        <rFont val="Arial"/>
        <family val="2"/>
      </rPr>
      <t>2</t>
    </r>
  </si>
  <si>
    <t>Number of households completed per day for all teams</t>
  </si>
  <si>
    <r>
      <t>Number of interviewers per team</t>
    </r>
    <r>
      <rPr>
        <vertAlign val="superscript"/>
        <sz val="10"/>
        <rFont val="Arial"/>
        <family val="2"/>
      </rPr>
      <t>3</t>
    </r>
  </si>
  <si>
    <r>
      <t xml:space="preserve">Number of working days per cluster </t>
    </r>
    <r>
      <rPr>
        <i/>
        <sz val="10"/>
        <rFont val="Arial"/>
        <family val="2"/>
      </rPr>
      <t>(rounded)</t>
    </r>
  </si>
  <si>
    <r>
      <t>Number of households per cluster</t>
    </r>
    <r>
      <rPr>
        <vertAlign val="superscript"/>
        <sz val="10"/>
        <rFont val="Arial"/>
        <family val="2"/>
      </rPr>
      <t>4</t>
    </r>
  </si>
  <si>
    <t>Duration of fieldwork in working days</t>
  </si>
  <si>
    <t>Total duration in working weeks</t>
  </si>
  <si>
    <r>
      <t>1 week = 5 working days + 1 rest &amp; 1 travel day</t>
    </r>
    <r>
      <rPr>
        <i/>
        <vertAlign val="superscript"/>
        <sz val="10"/>
        <rFont val="Arial"/>
        <family val="2"/>
      </rPr>
      <t>5</t>
    </r>
  </si>
  <si>
    <t>Total duration of the fieldwork in days</t>
  </si>
  <si>
    <t>Fieldwork start date [dd-mm-yyyy]</t>
  </si>
  <si>
    <t>Fieldwork end date [dd-mm-yyyy]</t>
  </si>
  <si>
    <r>
      <rPr>
        <vertAlign val="superscript"/>
        <sz val="8"/>
        <rFont val="Arial"/>
        <family val="2"/>
      </rPr>
      <t xml:space="preserve">1 </t>
    </r>
    <r>
      <rPr>
        <sz val="8"/>
        <rFont val="Arial"/>
        <family val="2"/>
      </rPr>
      <t xml:space="preserve">On average interviewers should be able to comfortably complete up to 3-4 household per day, including all questionnaires. The number here is net, meaning that it includes re-visits to the households. Aiming for larger numbers of households per day will lead to problems in data quality. </t>
    </r>
  </si>
  <si>
    <r>
      <t xml:space="preserve">2 </t>
    </r>
    <r>
      <rPr>
        <sz val="8"/>
        <rFont val="Arial"/>
        <family val="2"/>
      </rPr>
      <t xml:space="preserve">The number of fieldwork teams needs to be kept to a manageable size (between 5-20 teams are recommended) in order to ensure field monitoring and quality assurance measures can be undertaken. </t>
    </r>
  </si>
  <si>
    <r>
      <rPr>
        <vertAlign val="superscript"/>
        <sz val="8"/>
        <rFont val="Arial"/>
        <family val="2"/>
      </rPr>
      <t>3</t>
    </r>
    <r>
      <rPr>
        <sz val="8"/>
        <rFont val="Arial"/>
        <family val="2"/>
      </rPr>
      <t xml:space="preserve"> MICS recommends that field teams have 4 interviewers, as well as 1 supervisor and 1 measurer.</t>
    </r>
  </si>
  <si>
    <r>
      <rPr>
        <vertAlign val="superscript"/>
        <sz val="8"/>
        <rFont val="Arial"/>
        <family val="2"/>
      </rPr>
      <t>4</t>
    </r>
    <r>
      <rPr>
        <sz val="8"/>
        <rFont val="Arial"/>
        <family val="2"/>
      </rPr>
      <t xml:space="preserve"> MICS recommends between 15 to 25 households per cluster</t>
    </r>
  </si>
  <si>
    <r>
      <rPr>
        <vertAlign val="superscript"/>
        <sz val="8"/>
        <rFont val="Arial"/>
        <family val="2"/>
      </rPr>
      <t>5</t>
    </r>
    <r>
      <rPr>
        <sz val="8"/>
        <rFont val="Arial"/>
        <family val="2"/>
      </rPr>
      <t xml:space="preserve"> Fieldwork teams require one off-day every week. Further, one (net) travel day per week is assumed based on a team typically covering a number of clusters from a changing base location, driving to and from clusters every day, and moving base approximately once a week. The number of travel days should be increased if team movement generally follow a different pattern, i.e. without such base locations. This would be the case if long distances between clusters.</t>
    </r>
  </si>
  <si>
    <t>Template for calculating total number of teams and fieldwork staff required for fieldwork and training</t>
  </si>
  <si>
    <t xml:space="preserve">Enter values from the MICS survey plan into the input value table (requires input on fieldwork duration). The corresponding estimates of fieldwork staff requirement and training participants will be shown in the output value table.  </t>
  </si>
  <si>
    <t>INPUT VALUES READ FROM THE WORKSHEET 'Fieldwork Duration'</t>
  </si>
  <si>
    <t>OUTPUT VALUES FOR FIELDWORK</t>
  </si>
  <si>
    <t>Number of households</t>
  </si>
  <si>
    <t>Number of clusters</t>
  </si>
  <si>
    <t xml:space="preserve">Duration of fieldwork in working days </t>
  </si>
  <si>
    <t>Number of households per cluster</t>
  </si>
  <si>
    <t>Number of total interviewed households per day</t>
  </si>
  <si>
    <r>
      <t>Total duration of the fieldwork in days</t>
    </r>
    <r>
      <rPr>
        <i/>
        <sz val="8"/>
        <rFont val="Arial"/>
        <family val="2"/>
      </rPr>
      <t xml:space="preserve"> (output from 'Fieldwork Duration')</t>
    </r>
  </si>
  <si>
    <r>
      <t xml:space="preserve">Duration of fieldwork in weeks
     </t>
    </r>
    <r>
      <rPr>
        <i/>
        <sz val="10"/>
        <rFont val="Arial"/>
        <family val="2"/>
      </rPr>
      <t>1 week = 5 working days + 1 rest &amp; 1 travel day</t>
    </r>
    <r>
      <rPr>
        <vertAlign val="superscript"/>
        <sz val="10"/>
        <rFont val="Arial"/>
        <family val="2"/>
      </rPr>
      <t>6</t>
    </r>
  </si>
  <si>
    <r>
      <t>Number of fieldwork teams required</t>
    </r>
    <r>
      <rPr>
        <sz val="8"/>
        <rFont val="Arial"/>
        <family val="2"/>
      </rPr>
      <t xml:space="preserve"> (Calculated to check the consistency with the input from 'Calculating Fieldwork Duration' worksheet)</t>
    </r>
  </si>
  <si>
    <t>Number of interviewed households per day per interviewer</t>
  </si>
  <si>
    <t>Number of Fieldwork staff Required:</t>
  </si>
  <si>
    <t>Supervisors</t>
  </si>
  <si>
    <t xml:space="preserve">Number of interviewers per team </t>
  </si>
  <si>
    <t>Interviewers</t>
  </si>
  <si>
    <t>Measurers</t>
  </si>
  <si>
    <t>Total</t>
  </si>
  <si>
    <t>Total + 10 % extra for selection of best performing/replacement</t>
  </si>
  <si>
    <t>OUTPUT VALUES FOR TRAINING</t>
  </si>
  <si>
    <t>Central office staff</t>
  </si>
  <si>
    <r>
      <t>Secondary Editors</t>
    </r>
    <r>
      <rPr>
        <vertAlign val="superscript"/>
        <sz val="10"/>
        <rFont val="Arial"/>
        <family val="2"/>
      </rPr>
      <t>7</t>
    </r>
  </si>
  <si>
    <r>
      <t>Monitoring staff</t>
    </r>
    <r>
      <rPr>
        <vertAlign val="superscript"/>
        <sz val="10"/>
        <rFont val="Arial"/>
        <family val="2"/>
      </rPr>
      <t>8</t>
    </r>
  </si>
  <si>
    <t>10% extra for selection of best performing/replacement</t>
  </si>
  <si>
    <t>Secondary Editors</t>
  </si>
  <si>
    <t>Monitoring staff</t>
  </si>
  <si>
    <r>
      <rPr>
        <vertAlign val="superscript"/>
        <sz val="8"/>
        <rFont val="Arial"/>
        <family val="2"/>
      </rPr>
      <t>6</t>
    </r>
    <r>
      <rPr>
        <sz val="8"/>
        <rFont val="Arial"/>
        <family val="2"/>
      </rPr>
      <t xml:space="preserve"> Fieldwork teams require one off-day every week. Further, one (net) travel day per week is assumed based on a team typically covering a number of clusters from a changing base location, driving to and from clusters every day, and moving base approximately once a week. The number of travel days should be increased if team movement generally follows a different pattern, i.e. without such base locations. This would be the case</t>
    </r>
    <r>
      <rPr>
        <sz val="8"/>
        <rFont val="Arial"/>
        <family val="2"/>
        <charset val="238"/>
      </rPr>
      <t xml:space="preserve"> if l</t>
    </r>
    <r>
      <rPr>
        <sz val="8"/>
        <rFont val="Arial"/>
        <family val="2"/>
      </rPr>
      <t>ong distances between clusters.</t>
    </r>
  </si>
  <si>
    <r>
      <t>Total to train</t>
    </r>
    <r>
      <rPr>
        <b/>
        <vertAlign val="superscript"/>
        <sz val="10"/>
        <rFont val="Arial"/>
        <family val="2"/>
        <charset val="204"/>
      </rPr>
      <t>9</t>
    </r>
    <r>
      <rPr>
        <b/>
        <sz val="10"/>
        <rFont val="Arial"/>
        <family val="2"/>
      </rPr>
      <t xml:space="preserve"> for fieldwork</t>
    </r>
  </si>
  <si>
    <r>
      <rPr>
        <vertAlign val="superscript"/>
        <sz val="8"/>
        <rFont val="Arial"/>
        <family val="2"/>
      </rPr>
      <t>9</t>
    </r>
    <r>
      <rPr>
        <sz val="8"/>
        <rFont val="Arial"/>
        <family val="2"/>
      </rPr>
      <t xml:space="preserve"> Training facilities should include 1 large room for plenary sessions and smaller classrooms for smaller, interactive sessions, for 30-40 participants per room, if capacity and the number of trainers allow for simultaneous sessions. More trainees per room can reduce the quality of training. A separate space should be planned for anthropometry measurers training, taking into account the space needed for equipment and number of measures.    </t>
    </r>
  </si>
  <si>
    <r>
      <rPr>
        <vertAlign val="superscript"/>
        <sz val="8"/>
        <rFont val="Arial"/>
        <family val="2"/>
      </rPr>
      <t xml:space="preserve">7 </t>
    </r>
    <r>
      <rPr>
        <sz val="8"/>
        <rFont val="Arial"/>
        <family val="2"/>
      </rPr>
      <t>MICS recommends that data processing personnel are also familiarized with questionnaires during the main fieldworker training. Secondary Editors should also be included in the total number for the main fieldwork training.</t>
    </r>
  </si>
  <si>
    <r>
      <rPr>
        <vertAlign val="superscript"/>
        <sz val="8"/>
        <rFont val="Arial"/>
        <family val="2"/>
      </rPr>
      <t>8</t>
    </r>
    <r>
      <rPr>
        <sz val="8"/>
        <rFont val="Arial"/>
        <family val="2"/>
      </rPr>
      <t xml:space="preserve"> The composition of the monitoring team(s) should be decided at the planning stage of the survey. The team members who do not belong to the NSO/UNICEF MICS team must attend the first part of the training (methodology part, and preferably the whole training). A separate session should be organized for monitoring teams.   </t>
    </r>
  </si>
  <si>
    <t>Template for calculating the duration of household listing and mapping</t>
  </si>
  <si>
    <t>Enter values from the MICS survey plan into the input value table (requires input on 'Fieldwork Duration' spreadsheet). The corresponding estimates of listing and mapping duration will be shown in the output value table. Discuss details with the sampling expert.</t>
  </si>
  <si>
    <r>
      <t>Number of clusters to be completed per working day per listing team</t>
    </r>
    <r>
      <rPr>
        <vertAlign val="superscript"/>
        <sz val="10"/>
        <rFont val="Arial"/>
        <family val="2"/>
      </rPr>
      <t>10</t>
    </r>
  </si>
  <si>
    <r>
      <t>Total number of working days needed + 20%</t>
    </r>
    <r>
      <rPr>
        <vertAlign val="superscript"/>
        <sz val="10"/>
        <rFont val="Arial"/>
        <family val="2"/>
      </rPr>
      <t>12</t>
    </r>
  </si>
  <si>
    <r>
      <t>Number of listing teams</t>
    </r>
    <r>
      <rPr>
        <vertAlign val="superscript"/>
        <sz val="10"/>
        <rFont val="Arial"/>
        <family val="2"/>
      </rPr>
      <t>11</t>
    </r>
  </si>
  <si>
    <t>Duration of listing and mapping in working days</t>
  </si>
  <si>
    <t>Total duration in weeks</t>
  </si>
  <si>
    <r>
      <t>1 week = (6 working days + 1 rest)</t>
    </r>
    <r>
      <rPr>
        <vertAlign val="superscript"/>
        <sz val="10"/>
        <rFont val="Arial"/>
        <family val="2"/>
      </rPr>
      <t>13</t>
    </r>
  </si>
  <si>
    <t>Listing and mapping start date [dd-mm-yyyy]</t>
  </si>
  <si>
    <r>
      <rPr>
        <vertAlign val="superscript"/>
        <sz val="8"/>
        <rFont val="Arial"/>
        <family val="2"/>
      </rPr>
      <t xml:space="preserve">10 </t>
    </r>
    <r>
      <rPr>
        <sz val="8"/>
        <rFont val="Arial"/>
        <family val="2"/>
      </rPr>
      <t>On average one lister and one mapper should be able to comfortably complete 1 cluster per day (generally with an overall average of 80 to 120 households each). It should be possible even if the survey additionally collects information on presence of children under age 5 in listed households (or similar needed for over-sampling), extra question on special populations such as Roma or if a lack of census maps or with old maps. More than one cluster per day is possible mainly in urban clusters and requires newly created maps or ortho-photos and more attention in listing.</t>
    </r>
  </si>
  <si>
    <r>
      <t xml:space="preserve">11 </t>
    </r>
    <r>
      <rPr>
        <sz val="8"/>
        <rFont val="Arial"/>
        <family val="2"/>
      </rPr>
      <t>The number of teams needs to be kept to a manageable number that can be adequately trained and monitored in the field. It is recommended to have a maximum of 3 teams per region and no more than 50 staff to manage.</t>
    </r>
  </si>
  <si>
    <r>
      <t>12</t>
    </r>
    <r>
      <rPr>
        <sz val="8"/>
        <rFont val="Arial"/>
        <family val="2"/>
      </rPr>
      <t xml:space="preserve"> Extra travel days should be considered for teams covering large geographic areas or remote clusters with lengthy or demanding travel involved (long drive, walking, sailing). Regardless, it is recommended to keep a minimum 20% additional days for any survey to account for large clusters, segmentation, bad weather conditions, re-visits, etc. This should be discused with samoling expert when planning fro listing and mapping data collection</t>
    </r>
  </si>
  <si>
    <r>
      <t>13</t>
    </r>
    <r>
      <rPr>
        <sz val="8"/>
        <rFont val="Arial"/>
        <family val="2"/>
      </rPr>
      <t xml:space="preserve"> The Listing and Mapping teams require one off-day every week.</t>
    </r>
  </si>
  <si>
    <t>Template for calculating number of staff required for household listing and mapping</t>
  </si>
  <si>
    <t xml:space="preserve">Enter values from the MICS survey plan into the input value table (requires input on 'Fieldwork Duration' spreadsheet). The corresponding estimates of listing and mapping staff requirement and training participants will be shown in the output value table.  </t>
  </si>
  <si>
    <t>INPUT VALUES READ FROM THE WORKSHEET 'Listing Duration'</t>
  </si>
  <si>
    <r>
      <t>Supervisors</t>
    </r>
    <r>
      <rPr>
        <vertAlign val="superscript"/>
        <sz val="10"/>
        <rFont val="Arial"/>
        <family val="2"/>
      </rPr>
      <t>16</t>
    </r>
  </si>
  <si>
    <t>Number of listing teams</t>
  </si>
  <si>
    <t>Listers</t>
  </si>
  <si>
    <t>Mappers</t>
  </si>
  <si>
    <t>Duration in weeks</t>
  </si>
  <si>
    <t xml:space="preserve">     1 week = 6 working days + 1 rest</t>
  </si>
  <si>
    <r>
      <t>Total + 10%</t>
    </r>
    <r>
      <rPr>
        <vertAlign val="superscript"/>
        <sz val="10"/>
        <rFont val="Arial"/>
        <family val="2"/>
      </rPr>
      <t>17</t>
    </r>
    <r>
      <rPr>
        <i/>
        <sz val="10"/>
        <rFont val="Arial"/>
        <family val="2"/>
      </rPr>
      <t xml:space="preserve"> extra for selection of best performing/replacement</t>
    </r>
  </si>
  <si>
    <r>
      <t>Listing Editors</t>
    </r>
    <r>
      <rPr>
        <vertAlign val="superscript"/>
        <sz val="10"/>
        <rFont val="Arial"/>
        <family val="2"/>
      </rPr>
      <t>14</t>
    </r>
  </si>
  <si>
    <r>
      <t>Mapping Editors/Administrators</t>
    </r>
    <r>
      <rPr>
        <vertAlign val="superscript"/>
        <sz val="10"/>
        <rFont val="Arial"/>
        <family val="2"/>
      </rPr>
      <t>15</t>
    </r>
  </si>
  <si>
    <r>
      <t>10 %</t>
    </r>
    <r>
      <rPr>
        <vertAlign val="superscript"/>
        <sz val="10"/>
        <rFont val="Arial"/>
        <family val="2"/>
      </rPr>
      <t>17</t>
    </r>
    <r>
      <rPr>
        <i/>
        <sz val="10"/>
        <rFont val="Arial"/>
        <family val="2"/>
      </rPr>
      <t xml:space="preserve"> extra for selection of best performing/replacement</t>
    </r>
  </si>
  <si>
    <t>Listing Editors</t>
  </si>
  <si>
    <t>Mapping Editors/Administrators</t>
  </si>
  <si>
    <r>
      <rPr>
        <vertAlign val="superscript"/>
        <sz val="8"/>
        <rFont val="Arial"/>
        <family val="2"/>
      </rPr>
      <t>14</t>
    </r>
    <r>
      <rPr>
        <sz val="8"/>
        <rFont val="Arial"/>
        <family val="2"/>
      </rPr>
      <t xml:space="preserve"> The Listing Editors manage day-to-day edits on listing data received from the field and communicate findings with the survey management team.</t>
    </r>
  </si>
  <si>
    <r>
      <t>Total to train</t>
    </r>
    <r>
      <rPr>
        <vertAlign val="superscript"/>
        <sz val="10"/>
        <rFont val="Arial"/>
        <family val="2"/>
      </rPr>
      <t>18</t>
    </r>
    <r>
      <rPr>
        <b/>
        <sz val="10"/>
        <rFont val="Arial"/>
        <family val="2"/>
      </rPr>
      <t xml:space="preserve"> for listing and mapping</t>
    </r>
  </si>
  <si>
    <r>
      <rPr>
        <vertAlign val="superscript"/>
        <sz val="8"/>
        <rFont val="Arial"/>
        <family val="2"/>
      </rPr>
      <t xml:space="preserve">15 </t>
    </r>
    <r>
      <rPr>
        <sz val="8"/>
        <rFont val="Arial"/>
        <family val="2"/>
      </rPr>
      <t>Similarly, the Mapping Editors or Administrators manage and compile maps received from the field.</t>
    </r>
  </si>
  <si>
    <r>
      <rPr>
        <vertAlign val="superscript"/>
        <sz val="8"/>
        <rFont val="Arial"/>
        <family val="2"/>
      </rPr>
      <t xml:space="preserve">16 </t>
    </r>
    <r>
      <rPr>
        <sz val="8"/>
        <rFont val="Arial"/>
        <family val="2"/>
      </rPr>
      <t>A Supervisor is expected to supervise the work of 3 teams.</t>
    </r>
  </si>
  <si>
    <r>
      <rPr>
        <vertAlign val="superscript"/>
        <sz val="8"/>
        <rFont val="Arial"/>
        <family val="2"/>
      </rPr>
      <t xml:space="preserve">17 </t>
    </r>
    <r>
      <rPr>
        <sz val="8"/>
        <rFont val="Arial"/>
        <family val="2"/>
      </rPr>
      <t>Depending on experience with drop-outs and capacity, the number of extra trainees can be increased but should not be reduced.</t>
    </r>
  </si>
  <si>
    <r>
      <rPr>
        <vertAlign val="superscript"/>
        <sz val="8"/>
        <rFont val="Arial"/>
        <family val="2"/>
      </rPr>
      <t>18</t>
    </r>
    <r>
      <rPr>
        <sz val="8"/>
        <rFont val="Arial"/>
        <family val="2"/>
      </rPr>
      <t xml:space="preserve"> Training facilities should include 1 large room for plenary sessions and 2 smaller classrooms for split sessions for listers and mappers.</t>
    </r>
  </si>
  <si>
    <t>Template for calculating supply requirements</t>
  </si>
  <si>
    <t>No value input required.</t>
  </si>
  <si>
    <r>
      <t xml:space="preserve">OUTPUT VALUES </t>
    </r>
    <r>
      <rPr>
        <i/>
        <sz val="10"/>
        <rFont val="Arial"/>
        <family val="2"/>
        <charset val="204"/>
      </rPr>
      <t>- Optional supplies</t>
    </r>
  </si>
  <si>
    <r>
      <t>Measuring Boards</t>
    </r>
    <r>
      <rPr>
        <vertAlign val="superscript"/>
        <sz val="10"/>
        <rFont val="Arial"/>
        <family val="2"/>
        <charset val="204"/>
      </rPr>
      <t>19</t>
    </r>
  </si>
  <si>
    <r>
      <t>Tablet Computers for listing</t>
    </r>
    <r>
      <rPr>
        <u/>
        <vertAlign val="superscript"/>
        <sz val="10"/>
        <rFont val="Arial"/>
        <family val="2"/>
      </rPr>
      <t>22</t>
    </r>
    <r>
      <rPr>
        <u/>
        <sz val="10"/>
        <rFont val="Arial"/>
        <family val="2"/>
      </rPr>
      <t xml:space="preserve"> - see additional sheet</t>
    </r>
  </si>
  <si>
    <r>
      <t>Scales</t>
    </r>
    <r>
      <rPr>
        <vertAlign val="superscript"/>
        <sz val="10"/>
        <rFont val="Arial"/>
        <family val="2"/>
      </rPr>
      <t>19</t>
    </r>
  </si>
  <si>
    <t>GPS units - See additional sheet</t>
  </si>
  <si>
    <r>
      <t>Tablet Computers</t>
    </r>
    <r>
      <rPr>
        <u/>
        <vertAlign val="superscript"/>
        <sz val="10"/>
        <rFont val="Arial"/>
        <family val="2"/>
      </rPr>
      <t>20</t>
    </r>
    <r>
      <rPr>
        <u/>
        <sz val="10"/>
        <rFont val="Arial"/>
        <family val="2"/>
      </rPr>
      <t xml:space="preserve"> - see additional sheet</t>
    </r>
  </si>
  <si>
    <r>
      <rPr>
        <vertAlign val="superscript"/>
        <sz val="8"/>
        <rFont val="Arial"/>
        <family val="2"/>
      </rPr>
      <t>22</t>
    </r>
    <r>
      <rPr>
        <sz val="8"/>
        <rFont val="Arial"/>
        <family val="2"/>
      </rPr>
      <t xml:space="preserve"> One tablet per lister. The number includes 10% of the total number of tablets for backup. In case CAPI listing is used. Depending on the planning of the listing and the main training start date, there is no need for additional equipment for the listing. </t>
    </r>
  </si>
  <si>
    <r>
      <t>Water Quality Testing Equipment</t>
    </r>
    <r>
      <rPr>
        <u/>
        <vertAlign val="superscript"/>
        <sz val="10"/>
        <rFont val="Arial"/>
        <family val="2"/>
      </rPr>
      <t>21</t>
    </r>
    <r>
      <rPr>
        <u/>
        <sz val="10"/>
        <rFont val="Arial"/>
        <family val="2"/>
      </rPr>
      <t xml:space="preserve"> - See additional sheet</t>
    </r>
  </si>
  <si>
    <r>
      <rPr>
        <vertAlign val="superscript"/>
        <sz val="8"/>
        <rFont val="Arial"/>
        <family val="2"/>
      </rPr>
      <t>19</t>
    </r>
    <r>
      <rPr>
        <sz val="8"/>
        <rFont val="Arial"/>
        <family val="2"/>
      </rPr>
      <t xml:space="preserve"> Numbers of Measuring Boards and Scales are calculated as 2 per team (one back-up). The number of back-ups can be reduced if teams have easy access to replacements from a central location. Hand sanitiser (at least 10 bottles per team) and a mild cleaning agent (quantity can be calculated when the total number of children for measurement is estimated) are also recommended for use for anthropometric measurements and equipment.</t>
    </r>
  </si>
  <si>
    <r>
      <rPr>
        <vertAlign val="superscript"/>
        <sz val="8"/>
        <rFont val="Arial"/>
        <family val="2"/>
      </rPr>
      <t>20</t>
    </r>
    <r>
      <rPr>
        <sz val="8"/>
        <rFont val="Arial"/>
        <family val="2"/>
      </rPr>
      <t xml:space="preserve"> One tablet per supervisor and interviewer plus one additional per team. An (additional) extra tablet per team is recommended if number of interviewers per team is higher than 4. The number includes 5 additional tablets for survey managers and monitoring staff.</t>
    </r>
  </si>
  <si>
    <r>
      <rPr>
        <vertAlign val="superscript"/>
        <sz val="8"/>
        <rFont val="Arial"/>
        <family val="2"/>
      </rPr>
      <t>21</t>
    </r>
    <r>
      <rPr>
        <sz val="8"/>
        <rFont val="Arial"/>
        <family val="2"/>
      </rPr>
      <t xml:space="preserve"> Please see detailes in separate sheet. </t>
    </r>
  </si>
  <si>
    <t>Template for calculating tablet accessories for the main data collection</t>
  </si>
  <si>
    <t>Tablet Computers</t>
  </si>
  <si>
    <t>Tablet Cases</t>
  </si>
  <si>
    <t>Tablet screen protectors</t>
  </si>
  <si>
    <t>SD Cards</t>
  </si>
  <si>
    <r>
      <t>Back-up power supplies/Power Banks</t>
    </r>
    <r>
      <rPr>
        <vertAlign val="superscript"/>
        <sz val="10"/>
        <rFont val="Arial"/>
        <family val="2"/>
      </rPr>
      <t>23</t>
    </r>
  </si>
  <si>
    <r>
      <t>Styluses</t>
    </r>
    <r>
      <rPr>
        <vertAlign val="superscript"/>
        <sz val="10"/>
        <rFont val="Arial"/>
        <family val="2"/>
      </rPr>
      <t>24</t>
    </r>
  </si>
  <si>
    <r>
      <t>Vehicle Charger</t>
    </r>
    <r>
      <rPr>
        <vertAlign val="superscript"/>
        <sz val="10"/>
        <rFont val="Arial"/>
        <family val="2"/>
      </rPr>
      <t>25</t>
    </r>
  </si>
  <si>
    <r>
      <rPr>
        <vertAlign val="superscript"/>
        <sz val="8"/>
        <rFont val="Arial"/>
        <family val="2"/>
      </rPr>
      <t xml:space="preserve">23 </t>
    </r>
    <r>
      <rPr>
        <sz val="8"/>
        <rFont val="Arial"/>
        <family val="2"/>
      </rPr>
      <t>Two back-up power supplies per team - one should be able to fully charge two tablets</t>
    </r>
  </si>
  <si>
    <r>
      <rPr>
        <vertAlign val="superscript"/>
        <sz val="8"/>
        <rFont val="Arial"/>
        <family val="2"/>
      </rPr>
      <t xml:space="preserve">24 </t>
    </r>
    <r>
      <rPr>
        <sz val="8"/>
        <rFont val="Arial"/>
        <family val="2"/>
      </rPr>
      <t>One stylus per tablet + two additional per team. Note that some tablets include stylus.</t>
    </r>
  </si>
  <si>
    <r>
      <rPr>
        <vertAlign val="superscript"/>
        <sz val="8"/>
        <rFont val="Arial"/>
        <family val="2"/>
      </rPr>
      <t xml:space="preserve">25 </t>
    </r>
    <r>
      <rPr>
        <sz val="8"/>
        <rFont val="Arial"/>
        <family val="2"/>
      </rPr>
      <t>One vehicle charger per team</t>
    </r>
  </si>
  <si>
    <t>Template for calculating supplies for optional topics</t>
  </si>
  <si>
    <t>No value input required</t>
  </si>
  <si>
    <r>
      <t>OUTPUT VALUES</t>
    </r>
    <r>
      <rPr>
        <i/>
        <sz val="10"/>
        <rFont val="Arial"/>
        <family val="2"/>
        <charset val="204"/>
      </rPr>
      <t xml:space="preserve"> CAPI Listing</t>
    </r>
    <r>
      <rPr>
        <vertAlign val="superscript"/>
        <sz val="10"/>
        <rFont val="Arial"/>
        <family val="2"/>
        <charset val="204"/>
      </rPr>
      <t>26</t>
    </r>
  </si>
  <si>
    <r>
      <t>OUTPUT VALUES</t>
    </r>
    <r>
      <rPr>
        <i/>
        <sz val="10"/>
        <rFont val="Arial"/>
        <family val="2"/>
        <charset val="204"/>
      </rPr>
      <t xml:space="preserve"> GIS</t>
    </r>
  </si>
  <si>
    <r>
      <t>GPS receiver (Garming device)</t>
    </r>
    <r>
      <rPr>
        <vertAlign val="superscript"/>
        <sz val="10"/>
        <color rgb="FF000000"/>
        <rFont val="Arial"/>
        <family val="2"/>
        <charset val="204"/>
      </rPr>
      <t>30</t>
    </r>
  </si>
  <si>
    <t>(1 per team + two (2) extra for backup)</t>
  </si>
  <si>
    <t>Pack of eight (8) AA batteries (alkaline) per GPS unit</t>
  </si>
  <si>
    <r>
      <t>One (1) standard USB to Micro-USB cable per GPS unit for downloading data from receivers</t>
    </r>
    <r>
      <rPr>
        <vertAlign val="superscript"/>
        <sz val="10"/>
        <color rgb="FF000000"/>
        <rFont val="Arial"/>
        <family val="2"/>
        <charset val="204"/>
      </rPr>
      <t>31</t>
    </r>
  </si>
  <si>
    <t>One (1) MicroSD card per GPS unit (optional)</t>
  </si>
  <si>
    <r>
      <t>Back-up power supplies/Power Banks</t>
    </r>
    <r>
      <rPr>
        <vertAlign val="superscript"/>
        <sz val="10"/>
        <rFont val="Arial"/>
        <family val="2"/>
      </rPr>
      <t>27</t>
    </r>
  </si>
  <si>
    <r>
      <rPr>
        <vertAlign val="superscript"/>
        <sz val="8"/>
        <color rgb="FF000000"/>
        <rFont val="Arial"/>
        <family val="2"/>
        <charset val="204"/>
      </rPr>
      <t>30</t>
    </r>
    <r>
      <rPr>
        <sz val="8"/>
        <color rgb="FF000000"/>
        <rFont val="Arial"/>
        <family val="2"/>
        <charset val="204"/>
      </rPr>
      <t xml:space="preserve"> Validation of existing GPS data may be possible without stand-alone units.For different options and guidance, please see MICS7 Supply Procurement Instructions, available here: http://mics.unicef.org/tools#survey-design</t>
    </r>
  </si>
  <si>
    <r>
      <t>Styluses</t>
    </r>
    <r>
      <rPr>
        <vertAlign val="superscript"/>
        <sz val="10"/>
        <rFont val="Arial"/>
        <family val="2"/>
      </rPr>
      <t>28</t>
    </r>
  </si>
  <si>
    <r>
      <t>Vehicle Charger</t>
    </r>
    <r>
      <rPr>
        <vertAlign val="superscript"/>
        <sz val="10"/>
        <rFont val="Arial"/>
        <family val="2"/>
      </rPr>
      <t>29</t>
    </r>
  </si>
  <si>
    <r>
      <rPr>
        <vertAlign val="superscript"/>
        <sz val="8"/>
        <color rgb="FF000000"/>
        <rFont val="Arial"/>
        <family val="2"/>
        <charset val="204"/>
      </rPr>
      <t>31</t>
    </r>
    <r>
      <rPr>
        <sz val="8"/>
        <color rgb="FF000000"/>
        <rFont val="Arial"/>
        <family val="2"/>
        <charset val="204"/>
      </rPr>
      <t xml:space="preserve"> Usually a cable is provided with the GPS receiver</t>
    </r>
  </si>
  <si>
    <r>
      <rPr>
        <vertAlign val="superscript"/>
        <sz val="8"/>
        <rFont val="Arial"/>
        <family val="2"/>
      </rPr>
      <t>26</t>
    </r>
    <r>
      <rPr>
        <sz val="8"/>
        <rFont val="Arial"/>
        <family val="2"/>
      </rPr>
      <t xml:space="preserve"> In case CAPI listing is used. Depending on the planning of the listing and the main training start date, there is no need for additional equipment for the listing. One tablet per lister should be planned. The number includes 10% of the total number of tablets for backup. For countries where digital maps will be used, discuss supply needs with the data processing team.</t>
    </r>
  </si>
  <si>
    <r>
      <rPr>
        <vertAlign val="superscript"/>
        <sz val="8"/>
        <rFont val="Arial"/>
        <family val="2"/>
      </rPr>
      <t xml:space="preserve">27 </t>
    </r>
    <r>
      <rPr>
        <sz val="8"/>
        <rFont val="Arial"/>
        <family val="2"/>
      </rPr>
      <t>One back-up power supply per team - should be able to fully charge two tablets</t>
    </r>
  </si>
  <si>
    <r>
      <rPr>
        <vertAlign val="superscript"/>
        <sz val="8"/>
        <rFont val="Arial"/>
        <family val="2"/>
      </rPr>
      <t xml:space="preserve">28 </t>
    </r>
    <r>
      <rPr>
        <sz val="8"/>
        <rFont val="Arial"/>
        <family val="2"/>
      </rPr>
      <t>One stylus per tablet + two additional per team. Note that some tablets include stylus.</t>
    </r>
  </si>
  <si>
    <r>
      <rPr>
        <vertAlign val="superscript"/>
        <sz val="8"/>
        <rFont val="Arial"/>
        <family val="2"/>
      </rPr>
      <t xml:space="preserve">29 </t>
    </r>
    <r>
      <rPr>
        <sz val="8"/>
        <rFont val="Arial"/>
        <family val="2"/>
      </rPr>
      <t>One vehicle charger per team</t>
    </r>
  </si>
  <si>
    <t>Template for calculating water quality testing supply requirements</t>
  </si>
  <si>
    <t>Enter values from the MICS survey plan into the input value table (requires additional input on 'Fieldwork Duration' spreadsheet). Also confirm values in red in the output value table. The corresponding estimates of supplies needed for water quality testing will be shown in the output value table.</t>
  </si>
  <si>
    <t>Total Units</t>
  </si>
  <si>
    <t>Units per Team</t>
  </si>
  <si>
    <r>
      <t>Cost/pack</t>
    </r>
    <r>
      <rPr>
        <vertAlign val="superscript"/>
        <sz val="10"/>
        <rFont val="Arial"/>
        <family val="2"/>
      </rPr>
      <t>32</t>
    </r>
  </si>
  <si>
    <t>Units/pack</t>
  </si>
  <si>
    <t>Packs needed</t>
  </si>
  <si>
    <t>Total Cost</t>
  </si>
  <si>
    <t>Hardware</t>
  </si>
  <si>
    <t>- an additional 10% is added to Total Units for replacement needs</t>
  </si>
  <si>
    <t>Number of fieldwork teams</t>
  </si>
  <si>
    <t>Membrane filtration manifold</t>
  </si>
  <si>
    <t>each</t>
  </si>
  <si>
    <t>Incubation belts</t>
  </si>
  <si>
    <t>Syringes, 100 mL</t>
  </si>
  <si>
    <t>per box</t>
  </si>
  <si>
    <t>Metal forceps</t>
  </si>
  <si>
    <t>Hardware sub-total</t>
  </si>
  <si>
    <t>Consumables</t>
  </si>
  <si>
    <t>Number of household water quality samples per cluster</t>
  </si>
  <si>
    <t>- an additional 25% is added to Total Units for training and wastage</t>
  </si>
  <si>
    <t>Millipore filter and cup</t>
  </si>
  <si>
    <t>Number of source water quality samples per cluster</t>
  </si>
  <si>
    <t>Nissui compact dry ECO plates</t>
  </si>
  <si>
    <t>Disposable sterile syringe (1 mL)</t>
  </si>
  <si>
    <t>Number of blank tests per cluster</t>
  </si>
  <si>
    <t>Alcohol swabs</t>
  </si>
  <si>
    <t>WhirlPak sample collection bags</t>
  </si>
  <si>
    <t>Chlorine tablets 8.5 mg</t>
  </si>
  <si>
    <t>Consumables sub-total</t>
  </si>
  <si>
    <r>
      <t xml:space="preserve">Freight </t>
    </r>
    <r>
      <rPr>
        <sz val="10"/>
        <rFont val="Arial"/>
        <family val="2"/>
      </rPr>
      <t>(10%)</t>
    </r>
  </si>
  <si>
    <t>Additional or hardware</t>
  </si>
  <si>
    <t>Additional for consumables</t>
  </si>
  <si>
    <t>(contact WASH if planning adicional ToT)</t>
  </si>
  <si>
    <r>
      <rPr>
        <vertAlign val="superscript"/>
        <sz val="8"/>
        <rFont val="Arial"/>
        <family val="2"/>
      </rPr>
      <t xml:space="preserve">32 </t>
    </r>
    <r>
      <rPr>
        <sz val="8"/>
        <rFont val="Arial"/>
        <family val="2"/>
      </rPr>
      <t>Please note that the cost/pack values should be updated for a better estimate. With fluctuations in EUR/USD rates there are bound to be significant changes. The current price is available from the UNICEF Supply catalogue, using item numbers provided in the MICS7 Supply Procurement Instructions, available here: http://mics.unicef.org/tools#survey-design</t>
    </r>
  </si>
  <si>
    <t>Total (USD):</t>
  </si>
  <si>
    <t>Additional for additional items</t>
  </si>
  <si>
    <t xml:space="preserve">OUTPUT VALUES </t>
  </si>
  <si>
    <r>
      <t>Cost/pack</t>
    </r>
    <r>
      <rPr>
        <vertAlign val="superscript"/>
        <sz val="10"/>
        <rFont val="Arial"/>
        <family val="2"/>
      </rPr>
      <t>33</t>
    </r>
  </si>
  <si>
    <t>Additional items</t>
  </si>
  <si>
    <t>- an additional 10% is added to Total Units for training and wastage</t>
  </si>
  <si>
    <t>Hand sanitizer (5/team)</t>
  </si>
  <si>
    <t>250 ml bottle</t>
  </si>
  <si>
    <t>Trash bags (1/cluster)</t>
  </si>
  <si>
    <t>roll</t>
  </si>
  <si>
    <t>Permanent marker (3/team)</t>
  </si>
  <si>
    <t>packet</t>
  </si>
  <si>
    <t>Water Quality Testing bag (1/team)</t>
  </si>
  <si>
    <t>bag</t>
  </si>
  <si>
    <t>Kitchen paper towel (12/team)</t>
  </si>
  <si>
    <t>Roll of 100</t>
  </si>
  <si>
    <t>Bottled Water for the blank tests (1/cluster)</t>
  </si>
  <si>
    <t>Bags to store the materials in the vehicle (2/team)</t>
  </si>
  <si>
    <t>Ziploc bags (5/team)</t>
  </si>
  <si>
    <t>Additional items sub-total</t>
  </si>
  <si>
    <r>
      <t xml:space="preserve">Freight </t>
    </r>
    <r>
      <rPr>
        <sz val="10"/>
        <rFont val="Arial"/>
        <family val="2"/>
        <charset val="204"/>
      </rPr>
      <t>(10%)</t>
    </r>
  </si>
  <si>
    <r>
      <rPr>
        <vertAlign val="superscript"/>
        <sz val="8"/>
        <rFont val="Arial"/>
        <family val="2"/>
      </rPr>
      <t xml:space="preserve">33 </t>
    </r>
    <r>
      <rPr>
        <sz val="8"/>
        <rFont val="Arial"/>
        <family val="2"/>
      </rPr>
      <t xml:space="preserve">Please note that the cost/pack values should be updated for a better estimate. With fluctuations in EUR/USD rates, there are bound to be significant changes. Most of the additional items are procured locally, while UNICEF branded bags (Water Quality testing bags and bags to store the materials) can be used and obtained from Supply Division as necessary. It is usually possible to use standard bags used by field teams for the water testing equipment.  </t>
    </r>
  </si>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</sst>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00_);_(&quot;$&quot;* \(#,##0.00\);_(&quot;$&quot;* &quot;-&quot;??_);_(@_)"/>
    <numFmt numFmtId="165" formatCode="_(* #,##0.00_);_(* \(#,##0.00\);_(* &quot;-&quot;??_);_(@_)"/>
    <numFmt numFmtId="166" formatCode="_-&quot;$&quot;* #,##0.00_-;\-&quot;$&quot;* #,##0.00_-;_-&quot;$&quot;* &quot;-&quot;??_-;_-@_-"/>
    <numFmt numFmtId="167" formatCode="_(* #,##0_);_(* \(#,##0\);_(* &quot;-&quot;??_);_(@_)"/>
    <numFmt numFmtId="168" formatCode="#,##0.0"/>
    <numFmt numFmtId="169" formatCode="[$-409]d/mmm/yyyy;@"/>
  </numFmts>
  <fonts count="36">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i/>
      <sz val="10"/>
      <name val="Arial"/>
      <family val="2"/>
    </font>
    <font>
      <vertAlign val="superscript"/>
      <sz val="10"/>
      <name val="Arial"/>
      <family val="2"/>
    </font>
    <font>
      <sz val="8"/>
      <name val="Arial"/>
      <family val="2"/>
    </font>
    <font>
      <vertAlign val="superscript"/>
      <sz val="8"/>
      <name val="Arial"/>
      <family val="2"/>
    </font>
    <font>
      <b/>
      <i/>
      <sz val="10"/>
      <name val="Arial"/>
      <family val="2"/>
    </font>
    <font>
      <b/>
      <sz val="12"/>
      <name val="Arial"/>
      <family val="2"/>
    </font>
    <font>
      <i/>
      <sz val="8"/>
      <name val="Arial"/>
      <family val="2"/>
    </font>
    <font>
      <i/>
      <vertAlign val="superscript"/>
      <sz val="10"/>
      <name val="Arial"/>
      <family val="2"/>
    </font>
    <font>
      <i/>
      <sz val="8"/>
      <name val="Arial"/>
      <family val="2"/>
      <charset val="238"/>
    </font>
    <font>
      <sz val="10"/>
      <name val="Arial"/>
      <family val="2"/>
      <charset val="238"/>
    </font>
    <font>
      <sz val="8"/>
      <name val="Arial"/>
      <family val="2"/>
      <charset val="238"/>
    </font>
    <font>
      <sz val="10"/>
      <color rgb="FFFF0000"/>
      <name val="Arial"/>
      <family val="2"/>
    </font>
    <font>
      <sz val="10"/>
      <name val="Arial"/>
      <family val="2"/>
      <charset val="204"/>
    </font>
    <font>
      <i/>
      <sz val="10"/>
      <name val="Arial"/>
      <family val="2"/>
      <charset val="204"/>
    </font>
    <font>
      <b/>
      <sz val="10"/>
      <name val="Arial"/>
      <family val="2"/>
      <charset val="204"/>
    </font>
    <font>
      <sz val="10"/>
      <color rgb="FFFF0000"/>
      <name val="Arial"/>
      <family val="2"/>
      <charset val="204"/>
    </font>
    <font>
      <vertAlign val="superscript"/>
      <sz val="10"/>
      <name val="Arial"/>
      <family val="2"/>
      <charset val="204"/>
    </font>
    <font>
      <sz val="8"/>
      <name val="Arial"/>
      <family val="2"/>
      <charset val="204"/>
    </font>
    <font>
      <u/>
      <sz val="10"/>
      <color theme="10"/>
      <name val="Arial"/>
      <family val="2"/>
      <charset val="204"/>
    </font>
    <font>
      <b/>
      <vertAlign val="superscript"/>
      <sz val="10"/>
      <name val="Arial"/>
      <family val="2"/>
      <charset val="204"/>
    </font>
    <font>
      <sz val="8"/>
      <color rgb="FFFF0000"/>
      <name val="Arial"/>
      <family val="2"/>
    </font>
    <font>
      <u/>
      <sz val="10"/>
      <name val="Arial"/>
      <family val="2"/>
    </font>
    <font>
      <u/>
      <vertAlign val="superscript"/>
      <sz val="10"/>
      <name val="Arial"/>
      <family val="2"/>
    </font>
    <font>
      <sz val="11"/>
      <name val="Calibri"/>
      <family val="2"/>
      <scheme val="minor"/>
    </font>
    <font>
      <i/>
      <sz val="10"/>
      <color rgb="FFFF0000"/>
      <name val="Arial"/>
      <family val="2"/>
      <charset val="204"/>
    </font>
    <font>
      <sz val="10"/>
      <color rgb="FF000000"/>
      <name val="Arial"/>
      <family val="2"/>
      <charset val="204"/>
    </font>
    <font>
      <vertAlign val="superscript"/>
      <sz val="10"/>
      <color rgb="FF000000"/>
      <name val="Arial"/>
      <family val="2"/>
      <charset val="204"/>
    </font>
    <font>
      <vertAlign val="superscript"/>
      <sz val="8"/>
      <color rgb="FF000000"/>
      <name val="Arial"/>
      <family val="2"/>
      <charset val="204"/>
    </font>
    <font>
      <sz val="8"/>
      <color rgb="FF000000"/>
      <name val="Arial"/>
      <family val="2"/>
      <charset val="204"/>
    </font>
    <font>
      <u/>
      <sz val="10"/>
      <name val="Arial"/>
      <family val="2"/>
      <charset val="204"/>
    </font>
  </fonts>
  <fills count="8">
    <fill>
      <patternFill patternType="none"/>
    </fill>
    <fill>
      <patternFill patternType="gray125"/>
    </fill>
    <fill>
      <patternFill patternType="solid">
        <fgColor theme="9" tint="0.39997558519241921"/>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2" tint="-9.9948118533890809E-2"/>
        <bgColor indexed="64"/>
      </patternFill>
    </fill>
    <fill>
      <patternFill patternType="solid">
        <fgColor theme="9" tint="0.59999389629810485"/>
        <bgColor indexed="64"/>
      </patternFill>
    </fill>
    <fill>
      <patternFill patternType="solid">
        <fgColor theme="9" tint="0.79998168889431442"/>
        <bgColor indexed="64"/>
      </patternFill>
    </fill>
  </fills>
  <borders count="24">
    <border>
      <left/>
      <right/>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style="medium">
        <color auto="1"/>
      </right>
      <top style="medium">
        <color auto="1"/>
      </top>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right/>
      <top style="thin">
        <color auto="1"/>
      </top>
      <bottom/>
      <diagonal/>
    </border>
    <border>
      <left/>
      <right/>
      <top/>
      <bottom style="thin">
        <color auto="1"/>
      </bottom>
      <diagonal/>
    </border>
    <border>
      <left/>
      <right style="medium">
        <color auto="1"/>
      </right>
      <top style="medium">
        <color auto="1"/>
      </top>
      <bottom/>
      <diagonal/>
    </border>
    <border>
      <left style="medium">
        <color auto="1"/>
      </left>
      <right/>
      <top style="medium">
        <color auto="1"/>
      </top>
      <bottom/>
      <diagonal/>
    </border>
    <border>
      <left/>
      <right/>
      <top style="medium">
        <color indexed="64"/>
      </top>
      <bottom style="medium">
        <color indexed="64"/>
      </bottom>
      <diagonal/>
    </border>
    <border>
      <left/>
      <right/>
      <top style="medium">
        <color auto="1"/>
      </top>
      <bottom/>
      <diagonal/>
    </border>
    <border>
      <left/>
      <right/>
      <top/>
      <bottom style="medium">
        <color auto="1"/>
      </bottom>
      <diagonal/>
    </border>
  </borders>
  <cellStyleXfs count="10">
    <xf numFmtId="0" fontId="0" fillId="0" borderId="0"/>
    <xf numFmtId="0" fontId="4" fillId="0" borderId="0"/>
    <xf numFmtId="0" fontId="3" fillId="0" borderId="0"/>
    <xf numFmtId="165" fontId="3"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6" fontId="3" fillId="0" borderId="0" applyFont="0" applyFill="0" applyBorder="0" applyAlignment="0" applyProtection="0"/>
    <xf numFmtId="0" fontId="2" fillId="0" borderId="0"/>
    <xf numFmtId="9" fontId="18" fillId="0" borderId="0" applyFont="0" applyFill="0" applyBorder="0" applyAlignment="0" applyProtection="0"/>
    <xf numFmtId="0" fontId="24" fillId="0" borderId="0" applyNumberFormat="0" applyFill="0" applyBorder="0" applyAlignment="0" applyProtection="0"/>
  </cellStyleXfs>
  <cellXfs count="234">
    <xf numFmtId="0" fontId="0" fillId="0" borderId="0" xfId="0"/>
    <xf numFmtId="0" fontId="0" fillId="0" borderId="2" xfId="0" applyBorder="1"/>
    <xf numFmtId="0" fontId="0" fillId="0" borderId="3" xfId="0" applyBorder="1"/>
    <xf numFmtId="0" fontId="0" fillId="0" borderId="4" xfId="0" applyBorder="1"/>
    <xf numFmtId="0" fontId="0" fillId="0" borderId="0" xfId="0"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0" xfId="0" applyAlignment="1" applyProtection="1">
      <alignment horizontal="center"/>
      <protection locked="0"/>
    </xf>
    <xf numFmtId="0" fontId="4" fillId="0" borderId="2" xfId="0" applyFont="1" applyBorder="1"/>
    <xf numFmtId="1" fontId="0" fillId="0" borderId="0" xfId="0" applyNumberFormat="1"/>
    <xf numFmtId="0" fontId="4" fillId="0" borderId="1" xfId="0" applyFont="1" applyBorder="1" applyAlignment="1">
      <alignment horizontal="right"/>
    </xf>
    <xf numFmtId="0" fontId="4" fillId="0" borderId="2" xfId="0" applyFont="1" applyBorder="1" applyAlignment="1">
      <alignment horizontal="right"/>
    </xf>
    <xf numFmtId="0" fontId="0" fillId="0" borderId="2" xfId="0" applyBorder="1" applyAlignment="1">
      <alignment horizontal="right"/>
    </xf>
    <xf numFmtId="0" fontId="5" fillId="0" borderId="3" xfId="0" applyFont="1" applyBorder="1" applyAlignment="1">
      <alignment horizontal="right"/>
    </xf>
    <xf numFmtId="0" fontId="6" fillId="0" borderId="2" xfId="0" applyFont="1" applyBorder="1" applyAlignment="1">
      <alignment horizontal="center"/>
    </xf>
    <xf numFmtId="0" fontId="4" fillId="0" borderId="2" xfId="0" applyFont="1" applyBorder="1" applyAlignment="1">
      <alignment wrapText="1"/>
    </xf>
    <xf numFmtId="0" fontId="5" fillId="0" borderId="2" xfId="0" applyFont="1" applyBorder="1" applyAlignment="1">
      <alignment horizontal="left"/>
    </xf>
    <xf numFmtId="0" fontId="5" fillId="0" borderId="2" xfId="0" applyFont="1" applyBorder="1"/>
    <xf numFmtId="1" fontId="0" fillId="2" borderId="2" xfId="0" applyNumberFormat="1" applyFill="1" applyBorder="1" applyAlignment="1">
      <alignment horizontal="center"/>
    </xf>
    <xf numFmtId="0" fontId="0" fillId="0" borderId="4" xfId="0" applyBorder="1" applyAlignment="1">
      <alignment horizontal="center"/>
    </xf>
    <xf numFmtId="0" fontId="4" fillId="0" borderId="4" xfId="0" applyFont="1" applyBorder="1" applyAlignment="1">
      <alignment horizontal="center"/>
    </xf>
    <xf numFmtId="0" fontId="6" fillId="0" borderId="4" xfId="0" applyFont="1" applyBorder="1" applyAlignment="1">
      <alignment horizontal="right"/>
    </xf>
    <xf numFmtId="0" fontId="4" fillId="0" borderId="2" xfId="0" applyFont="1" applyBorder="1" applyAlignment="1">
      <alignment horizontal="left"/>
    </xf>
    <xf numFmtId="0" fontId="5" fillId="0" borderId="4" xfId="0" applyFont="1" applyBorder="1" applyAlignment="1">
      <alignment horizontal="right"/>
    </xf>
    <xf numFmtId="0" fontId="6" fillId="0" borderId="2" xfId="0" applyFont="1" applyBorder="1" applyAlignment="1">
      <alignment horizontal="right"/>
    </xf>
    <xf numFmtId="3" fontId="0" fillId="2" borderId="2" xfId="0" applyNumberFormat="1" applyFill="1" applyBorder="1" applyAlignment="1">
      <alignment horizontal="center"/>
    </xf>
    <xf numFmtId="3" fontId="0" fillId="3" borderId="2" xfId="0" applyNumberFormat="1" applyFill="1" applyBorder="1" applyAlignment="1" applyProtection="1">
      <alignment horizontal="center"/>
      <protection locked="0"/>
    </xf>
    <xf numFmtId="1" fontId="0" fillId="3" borderId="2" xfId="0" applyNumberFormat="1" applyFill="1" applyBorder="1" applyAlignment="1" applyProtection="1">
      <alignment horizontal="center"/>
      <protection locked="0"/>
    </xf>
    <xf numFmtId="1" fontId="0" fillId="0" borderId="2" xfId="0" applyNumberFormat="1" applyBorder="1" applyAlignment="1" applyProtection="1">
      <alignment horizontal="center"/>
      <protection locked="0"/>
    </xf>
    <xf numFmtId="0" fontId="4" fillId="0" borderId="3" xfId="0" applyFont="1" applyBorder="1" applyAlignment="1">
      <alignment horizontal="right"/>
    </xf>
    <xf numFmtId="0" fontId="0" fillId="3" borderId="2" xfId="0" applyFill="1" applyBorder="1" applyAlignment="1">
      <alignment horizontal="center"/>
    </xf>
    <xf numFmtId="0" fontId="0" fillId="0" borderId="1" xfId="0" applyBorder="1"/>
    <xf numFmtId="0" fontId="0" fillId="0" borderId="7" xfId="0" applyBorder="1" applyAlignment="1">
      <alignment horizontal="center"/>
    </xf>
    <xf numFmtId="0" fontId="0" fillId="0" borderId="15" xfId="0" applyBorder="1"/>
    <xf numFmtId="0" fontId="4" fillId="0" borderId="1" xfId="0" applyFont="1" applyBorder="1" applyAlignment="1">
      <alignment horizontal="left"/>
    </xf>
    <xf numFmtId="0" fontId="4" fillId="0" borderId="5" xfId="0" applyFont="1" applyBorder="1"/>
    <xf numFmtId="0" fontId="0" fillId="0" borderId="6" xfId="0" applyBorder="1" applyAlignment="1">
      <alignment horizontal="center"/>
    </xf>
    <xf numFmtId="3" fontId="6" fillId="4" borderId="7" xfId="0" applyNumberFormat="1" applyFont="1" applyFill="1" applyBorder="1" applyAlignment="1">
      <alignment horizontal="center"/>
    </xf>
    <xf numFmtId="1" fontId="6" fillId="4" borderId="7" xfId="0" applyNumberFormat="1" applyFont="1" applyFill="1" applyBorder="1" applyAlignment="1">
      <alignment horizontal="center"/>
    </xf>
    <xf numFmtId="0" fontId="0" fillId="0" borderId="7" xfId="0" applyBorder="1" applyAlignment="1" applyProtection="1">
      <alignment horizontal="center"/>
      <protection locked="0"/>
    </xf>
    <xf numFmtId="1" fontId="0" fillId="0" borderId="7" xfId="0" applyNumberFormat="1" applyBorder="1" applyAlignment="1" applyProtection="1">
      <alignment horizontal="center"/>
      <protection locked="0"/>
    </xf>
    <xf numFmtId="0" fontId="0" fillId="0" borderId="16" xfId="0" applyBorder="1" applyAlignment="1" applyProtection="1">
      <alignment horizontal="center"/>
      <protection locked="0"/>
    </xf>
    <xf numFmtId="1" fontId="5" fillId="2" borderId="3" xfId="0" applyNumberFormat="1" applyFont="1" applyFill="1" applyBorder="1" applyAlignment="1">
      <alignment horizontal="center"/>
    </xf>
    <xf numFmtId="1" fontId="6" fillId="2" borderId="6" xfId="0" applyNumberFormat="1" applyFont="1" applyFill="1" applyBorder="1" applyAlignment="1">
      <alignment horizontal="center"/>
    </xf>
    <xf numFmtId="1" fontId="0" fillId="2" borderId="7" xfId="0" applyNumberFormat="1" applyFill="1" applyBorder="1" applyAlignment="1">
      <alignment horizontal="center"/>
    </xf>
    <xf numFmtId="1" fontId="10" fillId="2" borderId="6" xfId="0" applyNumberFormat="1" applyFont="1" applyFill="1" applyBorder="1" applyAlignment="1">
      <alignment horizontal="center"/>
    </xf>
    <xf numFmtId="0" fontId="0" fillId="0" borderId="8" xfId="0" applyBorder="1"/>
    <xf numFmtId="0" fontId="0" fillId="0" borderId="8" xfId="0" applyBorder="1" applyAlignment="1">
      <alignment horizontal="center"/>
    </xf>
    <xf numFmtId="1" fontId="6" fillId="5" borderId="7" xfId="0" applyNumberFormat="1" applyFont="1" applyFill="1" applyBorder="1" applyAlignment="1">
      <alignment horizontal="center" vertical="center"/>
    </xf>
    <xf numFmtId="1" fontId="0" fillId="3" borderId="2" xfId="0" applyNumberFormat="1" applyFill="1" applyBorder="1" applyAlignment="1" applyProtection="1">
      <alignment horizontal="center" vertical="center"/>
      <protection locked="0"/>
    </xf>
    <xf numFmtId="1" fontId="0" fillId="2" borderId="2" xfId="0" applyNumberFormat="1" applyFill="1" applyBorder="1" applyAlignment="1">
      <alignment horizontal="center" vertical="center"/>
    </xf>
    <xf numFmtId="0" fontId="4" fillId="0" borderId="2" xfId="0" applyFont="1" applyBorder="1" applyAlignment="1">
      <alignment vertical="center"/>
    </xf>
    <xf numFmtId="0" fontId="4" fillId="0" borderId="0" xfId="0" applyFont="1"/>
    <xf numFmtId="3" fontId="0" fillId="2" borderId="2" xfId="0" applyNumberFormat="1" applyFill="1" applyBorder="1" applyAlignment="1">
      <alignment horizontal="center" vertical="center"/>
    </xf>
    <xf numFmtId="0" fontId="4" fillId="0" borderId="2" xfId="0" applyFont="1" applyBorder="1" applyAlignment="1">
      <alignment vertical="center" wrapText="1"/>
    </xf>
    <xf numFmtId="0" fontId="0" fillId="0" borderId="0" xfId="0" applyAlignment="1">
      <alignment horizontal="center" vertical="center"/>
    </xf>
    <xf numFmtId="0" fontId="0" fillId="0" borderId="2" xfId="0" applyBorder="1" applyAlignment="1">
      <alignment vertical="center"/>
    </xf>
    <xf numFmtId="0" fontId="0" fillId="0" borderId="2" xfId="0" applyBorder="1" applyAlignment="1" applyProtection="1">
      <alignment horizontal="center" vertical="center"/>
      <protection locked="0"/>
    </xf>
    <xf numFmtId="0" fontId="0" fillId="0" borderId="2" xfId="0" applyBorder="1" applyAlignment="1">
      <alignment horizontal="center" vertical="center"/>
    </xf>
    <xf numFmtId="1" fontId="0" fillId="0" borderId="2" xfId="0" applyNumberFormat="1" applyBorder="1" applyAlignment="1" applyProtection="1">
      <alignment horizontal="center" vertical="center"/>
      <protection locked="0"/>
    </xf>
    <xf numFmtId="1" fontId="0" fillId="0" borderId="2" xfId="0" applyNumberFormat="1" applyBorder="1" applyAlignment="1">
      <alignment horizontal="center" vertical="center"/>
    </xf>
    <xf numFmtId="3" fontId="6" fillId="4" borderId="7" xfId="0" applyNumberFormat="1" applyFont="1" applyFill="1" applyBorder="1" applyAlignment="1">
      <alignment horizontal="center" vertical="center"/>
    </xf>
    <xf numFmtId="0" fontId="0" fillId="0" borderId="7" xfId="0" applyBorder="1" applyAlignment="1">
      <alignment horizontal="center" vertical="center"/>
    </xf>
    <xf numFmtId="0" fontId="0" fillId="0" borderId="0" xfId="0" applyAlignment="1">
      <alignment vertical="center"/>
    </xf>
    <xf numFmtId="1" fontId="6" fillId="4" borderId="7" xfId="0" applyNumberFormat="1" applyFont="1" applyFill="1" applyBorder="1" applyAlignment="1">
      <alignment horizontal="center" vertical="center"/>
    </xf>
    <xf numFmtId="0" fontId="0" fillId="0" borderId="7" xfId="0" applyBorder="1" applyAlignment="1" applyProtection="1">
      <alignment horizontal="center" vertical="center"/>
      <protection locked="0"/>
    </xf>
    <xf numFmtId="0" fontId="4" fillId="0" borderId="1" xfId="0" applyFont="1" applyBorder="1" applyAlignment="1">
      <alignment horizontal="right" vertical="center"/>
    </xf>
    <xf numFmtId="0" fontId="0" fillId="0" borderId="16" xfId="0" applyBorder="1" applyAlignment="1" applyProtection="1">
      <alignment horizontal="center" vertical="center"/>
      <protection locked="0"/>
    </xf>
    <xf numFmtId="1" fontId="5" fillId="2" borderId="3" xfId="0" applyNumberFormat="1" applyFont="1" applyFill="1" applyBorder="1" applyAlignment="1">
      <alignment horizontal="center" vertical="center"/>
    </xf>
    <xf numFmtId="0" fontId="6" fillId="0" borderId="4" xfId="0" applyFont="1" applyBorder="1" applyAlignment="1">
      <alignment horizontal="right" vertical="center"/>
    </xf>
    <xf numFmtId="1" fontId="6" fillId="2" borderId="6" xfId="0" applyNumberFormat="1" applyFont="1" applyFill="1" applyBorder="1" applyAlignment="1">
      <alignment horizontal="center" vertical="center"/>
    </xf>
    <xf numFmtId="0" fontId="0" fillId="0" borderId="19" xfId="0" applyBorder="1" applyAlignment="1">
      <alignment horizontal="center"/>
    </xf>
    <xf numFmtId="0" fontId="6" fillId="0" borderId="3" xfId="0" applyFont="1" applyBorder="1" applyAlignment="1">
      <alignment vertical="center"/>
    </xf>
    <xf numFmtId="0" fontId="0" fillId="0" borderId="20" xfId="0" applyBorder="1"/>
    <xf numFmtId="0" fontId="5" fillId="0" borderId="1" xfId="0" applyFont="1" applyBorder="1" applyAlignment="1">
      <alignment horizontal="left" vertical="center"/>
    </xf>
    <xf numFmtId="0" fontId="5" fillId="0" borderId="15" xfId="0" applyFont="1" applyBorder="1" applyAlignment="1">
      <alignment horizontal="right" vertical="center"/>
    </xf>
    <xf numFmtId="3" fontId="0" fillId="0" borderId="2" xfId="0" applyNumberFormat="1" applyBorder="1" applyAlignment="1" applyProtection="1">
      <alignment horizontal="center"/>
      <protection locked="0"/>
    </xf>
    <xf numFmtId="0" fontId="4" fillId="0" borderId="3" xfId="0" applyFont="1" applyBorder="1" applyAlignment="1">
      <alignment vertical="center"/>
    </xf>
    <xf numFmtId="0" fontId="4" fillId="0" borderId="1" xfId="0" applyFont="1" applyBorder="1"/>
    <xf numFmtId="1" fontId="6" fillId="0" borderId="2" xfId="0" applyNumberFormat="1" applyFont="1" applyBorder="1" applyAlignment="1" applyProtection="1">
      <alignment horizontal="center"/>
      <protection locked="0"/>
    </xf>
    <xf numFmtId="1" fontId="6" fillId="5" borderId="2" xfId="0" applyNumberFormat="1" applyFont="1" applyFill="1" applyBorder="1" applyAlignment="1" applyProtection="1">
      <alignment horizontal="center"/>
      <protection locked="0"/>
    </xf>
    <xf numFmtId="3" fontId="0" fillId="0" borderId="2" xfId="0" applyNumberFormat="1" applyBorder="1" applyAlignment="1">
      <alignment horizontal="center"/>
    </xf>
    <xf numFmtId="3" fontId="4" fillId="0" borderId="2" xfId="0" applyNumberFormat="1" applyFont="1" applyBorder="1" applyAlignment="1" applyProtection="1">
      <alignment horizontal="center"/>
      <protection locked="0"/>
    </xf>
    <xf numFmtId="3" fontId="0" fillId="0" borderId="3" xfId="0" applyNumberFormat="1" applyBorder="1" applyAlignment="1">
      <alignment horizontal="center"/>
    </xf>
    <xf numFmtId="3" fontId="0" fillId="0" borderId="19" xfId="0" applyNumberFormat="1" applyBorder="1" applyAlignment="1">
      <alignment horizontal="center"/>
    </xf>
    <xf numFmtId="3" fontId="0" fillId="0" borderId="7" xfId="0" applyNumberFormat="1" applyBorder="1" applyAlignment="1">
      <alignment horizontal="center" vertical="center"/>
    </xf>
    <xf numFmtId="3" fontId="0" fillId="0" borderId="16" xfId="0" applyNumberFormat="1" applyBorder="1" applyAlignment="1" applyProtection="1">
      <alignment horizontal="center" vertical="center"/>
      <protection locked="0"/>
    </xf>
    <xf numFmtId="3" fontId="0" fillId="0" borderId="8" xfId="0" applyNumberFormat="1" applyBorder="1" applyAlignment="1">
      <alignment horizontal="center"/>
    </xf>
    <xf numFmtId="3" fontId="0" fillId="3" borderId="2" xfId="0" applyNumberFormat="1" applyFill="1" applyBorder="1" applyAlignment="1">
      <alignment horizontal="center"/>
    </xf>
    <xf numFmtId="3" fontId="0" fillId="0" borderId="3" xfId="0" applyNumberFormat="1" applyBorder="1"/>
    <xf numFmtId="1" fontId="15" fillId="0" borderId="0" xfId="0" applyNumberFormat="1" applyFont="1"/>
    <xf numFmtId="0" fontId="6" fillId="0" borderId="2" xfId="0" applyFont="1" applyBorder="1"/>
    <xf numFmtId="1" fontId="6" fillId="7" borderId="2" xfId="0" applyNumberFormat="1" applyFont="1" applyFill="1" applyBorder="1" applyAlignment="1">
      <alignment horizontal="center"/>
    </xf>
    <xf numFmtId="0" fontId="0" fillId="0" borderId="19" xfId="0" applyBorder="1"/>
    <xf numFmtId="0" fontId="4" fillId="0" borderId="0" xfId="0" applyFont="1" applyAlignment="1">
      <alignment horizontal="right"/>
    </xf>
    <xf numFmtId="165" fontId="0" fillId="0" borderId="0" xfId="0" applyNumberFormat="1"/>
    <xf numFmtId="0" fontId="5" fillId="2" borderId="15" xfId="0" applyFont="1" applyFill="1" applyBorder="1" applyAlignment="1">
      <alignment horizontal="right"/>
    </xf>
    <xf numFmtId="167" fontId="5" fillId="2" borderId="16" xfId="0" applyNumberFormat="1" applyFont="1" applyFill="1" applyBorder="1"/>
    <xf numFmtId="0" fontId="4" fillId="0" borderId="6" xfId="0" applyFont="1" applyBorder="1" applyAlignment="1">
      <alignment horizontal="center"/>
    </xf>
    <xf numFmtId="168" fontId="0" fillId="3" borderId="2" xfId="0" applyNumberFormat="1" applyFill="1" applyBorder="1" applyAlignment="1" applyProtection="1">
      <alignment horizontal="center" vertical="center"/>
      <protection locked="0"/>
    </xf>
    <xf numFmtId="169" fontId="0" fillId="3" borderId="2" xfId="0" applyNumberFormat="1" applyFill="1" applyBorder="1" applyAlignment="1" applyProtection="1">
      <alignment horizontal="center" vertical="center"/>
      <protection locked="0"/>
    </xf>
    <xf numFmtId="169" fontId="0" fillId="2" borderId="2" xfId="0" applyNumberFormat="1" applyFill="1" applyBorder="1" applyAlignment="1">
      <alignment horizontal="center" vertical="center"/>
    </xf>
    <xf numFmtId="0" fontId="0" fillId="3" borderId="7" xfId="0" applyFill="1" applyBorder="1" applyAlignment="1">
      <alignment horizontal="center"/>
    </xf>
    <xf numFmtId="0" fontId="0" fillId="0" borderId="16" xfId="0" applyBorder="1" applyAlignment="1">
      <alignment horizontal="center"/>
    </xf>
    <xf numFmtId="0" fontId="14" fillId="0" borderId="0" xfId="0" applyFont="1"/>
    <xf numFmtId="3" fontId="6" fillId="0" borderId="2" xfId="0" applyNumberFormat="1" applyFont="1" applyBorder="1" applyAlignment="1">
      <alignment horizontal="center"/>
    </xf>
    <xf numFmtId="3" fontId="0" fillId="0" borderId="22" xfId="0" applyNumberFormat="1" applyBorder="1" applyAlignment="1">
      <alignment horizontal="center"/>
    </xf>
    <xf numFmtId="3" fontId="0" fillId="0" borderId="0" xfId="0" applyNumberFormat="1" applyAlignment="1">
      <alignment horizontal="center"/>
    </xf>
    <xf numFmtId="3" fontId="0" fillId="6" borderId="0" xfId="0" applyNumberFormat="1" applyFill="1" applyAlignment="1">
      <alignment horizontal="center"/>
    </xf>
    <xf numFmtId="3" fontId="6" fillId="0" borderId="0" xfId="0" applyNumberFormat="1" applyFont="1" applyAlignment="1">
      <alignment horizontal="center"/>
    </xf>
    <xf numFmtId="3" fontId="0" fillId="0" borderId="23" xfId="0" applyNumberFormat="1" applyBorder="1" applyAlignment="1">
      <alignment horizontal="center"/>
    </xf>
    <xf numFmtId="3" fontId="6" fillId="0" borderId="8" xfId="0" applyNumberFormat="1" applyFont="1" applyBorder="1" applyAlignment="1">
      <alignment horizontal="center"/>
    </xf>
    <xf numFmtId="4" fontId="0" fillId="0" borderId="2" xfId="0" applyNumberFormat="1" applyBorder="1" applyAlignment="1">
      <alignment horizontal="center"/>
    </xf>
    <xf numFmtId="3" fontId="0" fillId="6" borderId="2" xfId="0" applyNumberFormat="1" applyFill="1" applyBorder="1" applyAlignment="1">
      <alignment horizontal="center"/>
    </xf>
    <xf numFmtId="0" fontId="4" fillId="0" borderId="0" xfId="0" applyFont="1" applyAlignment="1">
      <alignment vertical="center" wrapText="1"/>
    </xf>
    <xf numFmtId="167" fontId="4" fillId="0" borderId="0" xfId="0" applyNumberFormat="1" applyFont="1" applyAlignment="1">
      <alignment vertical="center"/>
    </xf>
    <xf numFmtId="0" fontId="6" fillId="0" borderId="2" xfId="0" quotePrefix="1" applyFont="1" applyBorder="1"/>
    <xf numFmtId="0" fontId="4" fillId="0" borderId="2" xfId="0" applyFont="1" applyBorder="1" applyAlignment="1">
      <alignment horizontal="left" indent="1"/>
    </xf>
    <xf numFmtId="0" fontId="2" fillId="0" borderId="2" xfId="7" applyBorder="1" applyAlignment="1">
      <alignment horizontal="left" vertical="center" indent="1"/>
    </xf>
    <xf numFmtId="0" fontId="11" fillId="0" borderId="0" xfId="0" applyFont="1" applyAlignment="1">
      <alignment horizontal="left"/>
    </xf>
    <xf numFmtId="0" fontId="4" fillId="2" borderId="5" xfId="0" applyFont="1" applyFill="1" applyBorder="1" applyAlignment="1">
      <alignment horizontal="center"/>
    </xf>
    <xf numFmtId="0" fontId="0" fillId="2" borderId="6" xfId="0" applyFill="1" applyBorder="1" applyAlignment="1">
      <alignment horizontal="center"/>
    </xf>
    <xf numFmtId="0" fontId="12" fillId="0" borderId="0" xfId="0" applyFont="1" applyAlignment="1">
      <alignment horizontal="left"/>
    </xf>
    <xf numFmtId="9" fontId="0" fillId="0" borderId="2" xfId="8" applyFont="1" applyBorder="1" applyAlignment="1" applyProtection="1">
      <alignment horizontal="center"/>
      <protection locked="0"/>
    </xf>
    <xf numFmtId="9" fontId="0" fillId="0" borderId="2" xfId="8" applyFont="1" applyBorder="1" applyAlignment="1">
      <alignment horizontal="center"/>
    </xf>
    <xf numFmtId="3" fontId="19" fillId="0" borderId="2" xfId="0" applyNumberFormat="1" applyFont="1" applyBorder="1" applyAlignment="1">
      <alignment horizontal="center"/>
    </xf>
    <xf numFmtId="3" fontId="18" fillId="0" borderId="2" xfId="0" applyNumberFormat="1" applyFont="1" applyBorder="1" applyAlignment="1">
      <alignment horizontal="center"/>
    </xf>
    <xf numFmtId="3" fontId="18" fillId="0" borderId="0" xfId="0" applyNumberFormat="1" applyFont="1" applyAlignment="1">
      <alignment horizontal="center"/>
    </xf>
    <xf numFmtId="0" fontId="1" fillId="0" borderId="2" xfId="7" applyFont="1" applyBorder="1" applyAlignment="1">
      <alignment horizontal="left" vertical="center" indent="1"/>
    </xf>
    <xf numFmtId="0" fontId="5" fillId="2" borderId="5" xfId="0" applyFont="1" applyFill="1" applyBorder="1" applyAlignment="1">
      <alignment horizontal="right"/>
    </xf>
    <xf numFmtId="167" fontId="5" fillId="2" borderId="6" xfId="0" applyNumberFormat="1" applyFont="1" applyFill="1" applyBorder="1"/>
    <xf numFmtId="4" fontId="17" fillId="3" borderId="2" xfId="0" applyNumberFormat="1" applyFont="1" applyFill="1" applyBorder="1" applyAlignment="1">
      <alignment horizontal="center"/>
    </xf>
    <xf numFmtId="0" fontId="5" fillId="0" borderId="0" xfId="0" applyFont="1" applyAlignment="1">
      <alignment horizontal="right"/>
    </xf>
    <xf numFmtId="167" fontId="5" fillId="0" borderId="0" xfId="0" applyNumberFormat="1" applyFont="1"/>
    <xf numFmtId="0" fontId="18" fillId="0" borderId="0" xfId="0" applyFont="1"/>
    <xf numFmtId="0" fontId="0" fillId="0" borderId="8" xfId="0" applyBorder="1" applyAlignment="1">
      <alignment vertical="center"/>
    </xf>
    <xf numFmtId="0" fontId="5" fillId="0" borderId="2" xfId="0" applyFont="1" applyBorder="1" applyAlignment="1">
      <alignment horizontal="left" vertical="center"/>
    </xf>
    <xf numFmtId="0" fontId="5" fillId="0" borderId="2" xfId="0" applyFont="1" applyBorder="1" applyAlignment="1">
      <alignment vertical="center"/>
    </xf>
    <xf numFmtId="0" fontId="6" fillId="0" borderId="2" xfId="0" applyFont="1" applyBorder="1" applyAlignment="1">
      <alignment horizontal="center" vertical="center"/>
    </xf>
    <xf numFmtId="0" fontId="0" fillId="0" borderId="8" xfId="0" applyBorder="1" applyAlignment="1">
      <alignment horizontal="center" vertical="center"/>
    </xf>
    <xf numFmtId="1" fontId="6" fillId="4" borderId="2" xfId="0" applyNumberFormat="1" applyFont="1" applyFill="1" applyBorder="1" applyAlignment="1">
      <alignment horizontal="center"/>
    </xf>
    <xf numFmtId="3" fontId="4" fillId="2" borderId="2" xfId="0" applyNumberFormat="1" applyFont="1" applyFill="1" applyBorder="1" applyAlignment="1">
      <alignment horizontal="center"/>
    </xf>
    <xf numFmtId="169" fontId="0" fillId="3" borderId="3" xfId="0" applyNumberFormat="1" applyFill="1" applyBorder="1" applyAlignment="1" applyProtection="1">
      <alignment horizontal="center"/>
      <protection locked="0"/>
    </xf>
    <xf numFmtId="169" fontId="0" fillId="2" borderId="3" xfId="0" applyNumberFormat="1" applyFill="1" applyBorder="1" applyAlignment="1">
      <alignment horizontal="center" vertical="center"/>
    </xf>
    <xf numFmtId="3" fontId="6" fillId="5" borderId="2" xfId="0" applyNumberFormat="1" applyFont="1" applyFill="1" applyBorder="1" applyAlignment="1">
      <alignment horizontal="center"/>
    </xf>
    <xf numFmtId="1" fontId="6" fillId="5" borderId="2" xfId="0" applyNumberFormat="1" applyFont="1" applyFill="1" applyBorder="1" applyAlignment="1">
      <alignment horizontal="center" vertical="center"/>
    </xf>
    <xf numFmtId="1" fontId="6" fillId="0" borderId="2" xfId="0" applyNumberFormat="1" applyFont="1" applyBorder="1" applyAlignment="1">
      <alignment horizontal="center"/>
    </xf>
    <xf numFmtId="1" fontId="6" fillId="5" borderId="2" xfId="0" applyNumberFormat="1" applyFont="1" applyFill="1" applyBorder="1" applyAlignment="1">
      <alignment horizontal="center"/>
    </xf>
    <xf numFmtId="0" fontId="18" fillId="0" borderId="4" xfId="0" applyFont="1" applyBorder="1"/>
    <xf numFmtId="0" fontId="26" fillId="0" borderId="2" xfId="0" applyFont="1" applyBorder="1"/>
    <xf numFmtId="0" fontId="21" fillId="0" borderId="0" xfId="0" applyFont="1"/>
    <xf numFmtId="0" fontId="27" fillId="0" borderId="2" xfId="9" applyFont="1" applyBorder="1"/>
    <xf numFmtId="0" fontId="6" fillId="0" borderId="2" xfId="0" applyFont="1" applyBorder="1" applyAlignment="1">
      <alignment horizontal="left" indent="2"/>
    </xf>
    <xf numFmtId="0" fontId="4" fillId="0" borderId="3" xfId="0" applyFont="1" applyBorder="1"/>
    <xf numFmtId="0" fontId="18" fillId="0" borderId="2" xfId="0" applyFont="1" applyBorder="1"/>
    <xf numFmtId="1" fontId="6" fillId="5" borderId="3" xfId="0" applyNumberFormat="1" applyFont="1" applyFill="1" applyBorder="1" applyAlignment="1">
      <alignment horizontal="center"/>
    </xf>
    <xf numFmtId="0" fontId="18" fillId="0" borderId="20" xfId="0" applyFont="1" applyBorder="1"/>
    <xf numFmtId="0" fontId="18" fillId="0" borderId="8" xfId="0" applyFont="1" applyBorder="1"/>
    <xf numFmtId="0" fontId="29" fillId="0" borderId="2" xfId="7" applyFont="1" applyBorder="1" applyAlignment="1">
      <alignment horizontal="left" vertical="center" indent="1"/>
    </xf>
    <xf numFmtId="0" fontId="20" fillId="0" borderId="2" xfId="0" applyFont="1" applyBorder="1"/>
    <xf numFmtId="0" fontId="18" fillId="0" borderId="3" xfId="0" applyFont="1" applyBorder="1"/>
    <xf numFmtId="4" fontId="21" fillId="3" borderId="2" xfId="0" applyNumberFormat="1" applyFont="1" applyFill="1" applyBorder="1" applyAlignment="1">
      <alignment horizontal="center"/>
    </xf>
    <xf numFmtId="4" fontId="30" fillId="0" borderId="2" xfId="0" applyNumberFormat="1" applyFont="1" applyBorder="1" applyAlignment="1">
      <alignment horizontal="center"/>
    </xf>
    <xf numFmtId="0" fontId="21" fillId="0" borderId="2" xfId="0" applyFont="1" applyBorder="1"/>
    <xf numFmtId="4" fontId="21" fillId="0" borderId="2" xfId="0" applyNumberFormat="1" applyFont="1" applyBorder="1" applyAlignment="1">
      <alignment horizontal="center"/>
    </xf>
    <xf numFmtId="9" fontId="0" fillId="4" borderId="2" xfId="8" applyFont="1" applyFill="1" applyBorder="1" applyAlignment="1">
      <alignment horizontal="center"/>
    </xf>
    <xf numFmtId="0" fontId="19" fillId="0" borderId="1" xfId="0" applyFont="1" applyBorder="1"/>
    <xf numFmtId="0" fontId="31" fillId="0" borderId="2" xfId="0" applyFont="1" applyBorder="1" applyAlignment="1">
      <alignment wrapText="1"/>
    </xf>
    <xf numFmtId="0" fontId="31" fillId="0" borderId="2" xfId="0" applyFont="1" applyBorder="1"/>
    <xf numFmtId="1" fontId="0" fillId="0" borderId="2" xfId="0" applyNumberFormat="1" applyBorder="1" applyAlignment="1">
      <alignment horizontal="center"/>
    </xf>
    <xf numFmtId="0" fontId="35" fillId="0" borderId="2" xfId="9" applyFont="1" applyFill="1" applyBorder="1"/>
    <xf numFmtId="0" fontId="19" fillId="0" borderId="1" xfId="0" applyFont="1" applyBorder="1" applyAlignment="1">
      <alignment horizontal="left" indent="1"/>
    </xf>
    <xf numFmtId="0" fontId="11" fillId="0" borderId="0" xfId="0" applyFont="1" applyAlignment="1">
      <alignment horizontal="left"/>
    </xf>
    <xf numFmtId="0" fontId="14" fillId="0" borderId="0" xfId="0" applyFont="1" applyAlignment="1">
      <alignment horizontal="left" wrapText="1"/>
    </xf>
    <xf numFmtId="0" fontId="5" fillId="3" borderId="5" xfId="0" applyFont="1" applyFill="1" applyBorder="1" applyAlignment="1">
      <alignment horizontal="center"/>
    </xf>
    <xf numFmtId="0" fontId="5" fillId="3" borderId="6" xfId="0" applyFont="1" applyFill="1" applyBorder="1" applyAlignment="1">
      <alignment horizontal="center"/>
    </xf>
    <xf numFmtId="0" fontId="4" fillId="2" borderId="5" xfId="0" applyFont="1" applyFill="1" applyBorder="1" applyAlignment="1">
      <alignment horizontal="center"/>
    </xf>
    <xf numFmtId="0" fontId="0" fillId="2" borderId="6" xfId="0" applyFill="1" applyBorder="1" applyAlignment="1">
      <alignment horizontal="center"/>
    </xf>
    <xf numFmtId="0" fontId="8" fillId="0" borderId="10" xfId="0" applyFont="1" applyBorder="1" applyAlignment="1">
      <alignment horizontal="left" wrapText="1"/>
    </xf>
    <xf numFmtId="0" fontId="8" fillId="0" borderId="17" xfId="0" applyFont="1" applyBorder="1" applyAlignment="1">
      <alignment horizontal="left" wrapText="1"/>
    </xf>
    <xf numFmtId="0" fontId="8" fillId="0" borderId="11" xfId="0" applyFont="1" applyBorder="1" applyAlignment="1">
      <alignment horizontal="left" wrapText="1"/>
    </xf>
    <xf numFmtId="0" fontId="9" fillId="0" borderId="9" xfId="0" applyFont="1" applyBorder="1" applyAlignment="1">
      <alignment horizontal="left" wrapText="1"/>
    </xf>
    <xf numFmtId="0" fontId="9" fillId="0" borderId="0" xfId="0" applyFont="1" applyAlignment="1">
      <alignment horizontal="left" wrapText="1"/>
    </xf>
    <xf numFmtId="0" fontId="9" fillId="0" borderId="12" xfId="0" applyFont="1" applyBorder="1" applyAlignment="1">
      <alignment horizontal="left" wrapText="1"/>
    </xf>
    <xf numFmtId="0" fontId="8" fillId="0" borderId="9" xfId="0" applyFont="1" applyBorder="1" applyAlignment="1">
      <alignment horizontal="left"/>
    </xf>
    <xf numFmtId="0" fontId="8" fillId="0" borderId="0" xfId="0" applyFont="1" applyAlignment="1">
      <alignment horizontal="left"/>
    </xf>
    <xf numFmtId="0" fontId="8" fillId="0" borderId="12" xfId="0" applyFont="1" applyBorder="1" applyAlignment="1">
      <alignment horizontal="left"/>
    </xf>
    <xf numFmtId="0" fontId="8" fillId="0" borderId="13" xfId="0" applyFont="1" applyBorder="1" applyAlignment="1">
      <alignment horizontal="left" wrapText="1"/>
    </xf>
    <xf numFmtId="0" fontId="8" fillId="0" borderId="18" xfId="0" applyFont="1" applyBorder="1" applyAlignment="1">
      <alignment horizontal="left" wrapText="1"/>
    </xf>
    <xf numFmtId="0" fontId="8" fillId="0" borderId="14" xfId="0" applyFont="1" applyBorder="1" applyAlignment="1">
      <alignment horizontal="left" wrapText="1"/>
    </xf>
    <xf numFmtId="0" fontId="8" fillId="0" borderId="9"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4" fillId="4" borderId="5" xfId="0" applyFont="1" applyFill="1" applyBorder="1" applyAlignment="1">
      <alignment horizontal="center"/>
    </xf>
    <xf numFmtId="0" fontId="4" fillId="4" borderId="6" xfId="0" applyFont="1" applyFill="1" applyBorder="1" applyAlignment="1">
      <alignment horizontal="center"/>
    </xf>
    <xf numFmtId="0" fontId="9" fillId="0" borderId="9" xfId="0" applyFont="1" applyBorder="1" applyAlignment="1">
      <alignment horizontal="left" vertical="top" wrapText="1"/>
    </xf>
    <xf numFmtId="0" fontId="9" fillId="0" borderId="0" xfId="0" applyFont="1" applyAlignment="1">
      <alignment horizontal="left" vertical="top" wrapText="1"/>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9" fillId="0" borderId="18" xfId="0" applyFont="1" applyBorder="1" applyAlignment="1">
      <alignment horizontal="left" vertical="top" wrapText="1"/>
    </xf>
    <xf numFmtId="0" fontId="9" fillId="0" borderId="14" xfId="0" applyFont="1" applyBorder="1" applyAlignment="1">
      <alignment horizontal="left" vertical="top" wrapText="1"/>
    </xf>
    <xf numFmtId="0" fontId="12" fillId="0" borderId="0" xfId="0" applyFont="1" applyAlignment="1">
      <alignment horizontal="left" wrapText="1"/>
    </xf>
    <xf numFmtId="0" fontId="4" fillId="4" borderId="4" xfId="0" applyFont="1" applyFill="1" applyBorder="1" applyAlignment="1">
      <alignment horizontal="center"/>
    </xf>
    <xf numFmtId="0" fontId="8" fillId="0" borderId="17" xfId="0" applyFont="1" applyBorder="1" applyAlignment="1">
      <alignment horizontal="left" vertical="top" wrapText="1"/>
    </xf>
    <xf numFmtId="0" fontId="12" fillId="0" borderId="0" xfId="0" applyFont="1" applyAlignment="1">
      <alignment horizontal="left"/>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9"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34" fillId="0" borderId="10" xfId="0" applyFont="1" applyBorder="1" applyAlignment="1">
      <alignment horizontal="left" vertical="top" wrapText="1"/>
    </xf>
    <xf numFmtId="0" fontId="23" fillId="0" borderId="11" xfId="0" applyFont="1" applyBorder="1" applyAlignment="1">
      <alignment horizontal="left" vertical="top" wrapText="1"/>
    </xf>
    <xf numFmtId="0" fontId="23" fillId="0" borderId="9" xfId="0" applyFont="1" applyBorder="1" applyAlignment="1">
      <alignment horizontal="left" vertical="top" wrapText="1"/>
    </xf>
    <xf numFmtId="0" fontId="23" fillId="0" borderId="12" xfId="0" applyFont="1" applyBorder="1" applyAlignment="1">
      <alignment horizontal="left" vertical="top" wrapText="1"/>
    </xf>
    <xf numFmtId="0" fontId="18" fillId="2" borderId="5" xfId="0" applyFont="1" applyFill="1" applyBorder="1" applyAlignment="1">
      <alignment horizontal="center"/>
    </xf>
    <xf numFmtId="0" fontId="18" fillId="2" borderId="6" xfId="0" applyFont="1" applyFill="1" applyBorder="1" applyAlignment="1">
      <alignment horizontal="center"/>
    </xf>
    <xf numFmtId="0" fontId="34" fillId="0" borderId="13" xfId="0" applyFont="1" applyBorder="1" applyAlignment="1">
      <alignment horizontal="left" vertical="top" wrapText="1"/>
    </xf>
    <xf numFmtId="0" fontId="23" fillId="0" borderId="14" xfId="0" applyFont="1" applyBorder="1" applyAlignment="1">
      <alignment horizontal="left" vertical="top" wrapText="1"/>
    </xf>
    <xf numFmtId="0" fontId="4" fillId="2" borderId="21" xfId="0" applyFont="1" applyFill="1" applyBorder="1" applyAlignment="1">
      <alignment horizontal="center"/>
    </xf>
    <xf numFmtId="0" fontId="4" fillId="2" borderId="6" xfId="0" applyFont="1" applyFill="1" applyBorder="1" applyAlignment="1">
      <alignment horizontal="center"/>
    </xf>
    <xf numFmtId="0" fontId="20" fillId="2" borderId="5" xfId="0" applyFont="1" applyFill="1" applyBorder="1" applyAlignment="1">
      <alignment horizontal="left"/>
    </xf>
    <xf numFmtId="0" fontId="20" fillId="2" borderId="21" xfId="0" applyFont="1" applyFill="1" applyBorder="1" applyAlignment="1">
      <alignment horizontal="left"/>
    </xf>
    <xf numFmtId="0" fontId="20" fillId="2" borderId="6" xfId="0" applyFont="1" applyFill="1" applyBorder="1" applyAlignment="1">
      <alignment horizontal="left"/>
    </xf>
    <xf numFmtId="0" fontId="8" fillId="0" borderId="0" xfId="0" applyFont="1" applyAlignment="1">
      <alignment horizontal="left" vertical="top" wrapText="1"/>
    </xf>
    <xf numFmtId="0" fontId="8" fillId="0" borderId="18" xfId="0" applyFont="1" applyBorder="1" applyAlignment="1">
      <alignment horizontal="left" vertical="top" wrapText="1"/>
    </xf>
    <xf numFmtId="0" fontId="0" fillId="0" borderId="5" xfId="0" applyBorder="1" applyAlignment="1">
      <alignment horizontal="center"/>
    </xf>
    <xf numFmtId="0" fontId="0" fillId="0" borderId="6" xfId="0" applyBorder="1" applyAlignment="1">
      <alignment horizontal="center"/>
    </xf>
    <xf numFmtId="0" fontId="0" fillId="0" borderId="0" xfId="0" applyAlignment="1"/>
  </cellXfs>
  <cellStyles count="10">
    <cellStyle name="Comma 2" xfId="5" xr:uid="{00000000-0005-0000-0000-000000000000}"/>
    <cellStyle name="Comma 3" xfId="3" xr:uid="{00000000-0005-0000-0000-000001000000}"/>
    <cellStyle name="Currency 2" xfId="4" xr:uid="{00000000-0005-0000-0000-000002000000}"/>
    <cellStyle name="Currency 3" xfId="6" xr:uid="{00000000-0005-0000-0000-000003000000}"/>
    <cellStyle name="Hyperlink" xfId="9" builtinId="8"/>
    <cellStyle name="Normal" xfId="0" builtinId="0"/>
    <cellStyle name="Normal 2" xfId="1" xr:uid="{00000000-0005-0000-0000-000005000000}"/>
    <cellStyle name="Normal 3" xfId="2" xr:uid="{00000000-0005-0000-0000-000006000000}"/>
    <cellStyle name="Normal 3 2" xfId="7" xr:uid="{00000000-0005-0000-0000-000007000000}"/>
    <cellStyle name="Percent"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F88D5-87C8-4B97-9190-64CDCCE9F64D}">
  <dimension ref="B1:F35"/>
  <sheetViews>
    <sheetView zoomScaleNormal="100" workbookViewId="0">
      <selection activeCell="C11" sqref="C11"/>
    </sheetView>
  </sheetViews>
  <sheetFormatPr defaultColWidth="8.7109375" defaultRowHeight="12.75"/>
  <cols>
    <col min="1" max="1" width="2.140625" customWidth="1"/>
    <col min="2" max="2" width="47.7109375" customWidth="1"/>
    <col min="3" max="3" width="12.7109375" style="4" customWidth="1"/>
    <col min="4" max="4" width="3.28515625" style="4" customWidth="1"/>
    <col min="5" max="5" width="50.42578125" customWidth="1"/>
    <col min="6" max="6" width="14.7109375" style="4" customWidth="1"/>
  </cols>
  <sheetData>
    <row r="1" spans="2:6" ht="19.5" customHeight="1">
      <c r="B1" s="174" t="s">
        <v>0</v>
      </c>
      <c r="C1" s="174"/>
      <c r="D1" s="174"/>
      <c r="E1" s="174"/>
      <c r="F1" s="174"/>
    </row>
    <row r="2" spans="2:6" ht="24.6" customHeight="1">
      <c r="B2" s="175" t="s">
        <v>1</v>
      </c>
      <c r="C2" s="175"/>
      <c r="D2" s="175"/>
      <c r="E2" s="175"/>
      <c r="F2" s="175"/>
    </row>
    <row r="3" spans="2:6" ht="13.5" thickBot="1"/>
    <row r="4" spans="2:6" ht="13.5" thickBot="1">
      <c r="B4" s="176" t="s">
        <v>2</v>
      </c>
      <c r="C4" s="177"/>
      <c r="E4" s="178" t="s">
        <v>3</v>
      </c>
      <c r="F4" s="179"/>
    </row>
    <row r="5" spans="2:6" ht="13.5" thickBot="1"/>
    <row r="6" spans="2:6" ht="13.5" thickBot="1">
      <c r="B6" s="3" t="s">
        <v>4</v>
      </c>
      <c r="C6" s="22" t="s">
        <v>5</v>
      </c>
      <c r="E6" s="3" t="s">
        <v>6</v>
      </c>
      <c r="F6" s="21" t="s">
        <v>5</v>
      </c>
    </row>
    <row r="7" spans="2:6">
      <c r="B7" s="137"/>
      <c r="C7" s="49"/>
      <c r="E7" s="137"/>
      <c r="F7" s="141"/>
    </row>
    <row r="8" spans="2:6">
      <c r="B8" s="53" t="s">
        <v>7</v>
      </c>
      <c r="C8" s="28">
        <v>12000</v>
      </c>
      <c r="E8" s="1" t="s">
        <v>8</v>
      </c>
      <c r="F8" s="52">
        <f>C8/C10</f>
        <v>4000</v>
      </c>
    </row>
    <row r="9" spans="2:6">
      <c r="B9" s="58"/>
      <c r="C9" s="7"/>
      <c r="E9" s="1"/>
      <c r="F9" s="5"/>
    </row>
    <row r="10" spans="2:6" ht="27">
      <c r="B10" s="56" t="s">
        <v>9</v>
      </c>
      <c r="C10" s="51">
        <v>3</v>
      </c>
      <c r="E10" s="53" t="s">
        <v>10</v>
      </c>
      <c r="F10" s="52">
        <f>C10*C14</f>
        <v>12</v>
      </c>
    </row>
    <row r="11" spans="2:6">
      <c r="B11" s="58"/>
      <c r="C11" s="30"/>
      <c r="E11" s="58"/>
      <c r="F11" s="60"/>
    </row>
    <row r="12" spans="2:6" ht="14.25">
      <c r="B12" s="53" t="s">
        <v>11</v>
      </c>
      <c r="C12" s="29">
        <v>20</v>
      </c>
      <c r="E12" s="53" t="s">
        <v>12</v>
      </c>
      <c r="F12" s="52">
        <f>F10*C12</f>
        <v>240</v>
      </c>
    </row>
    <row r="13" spans="2:6">
      <c r="B13" s="58"/>
      <c r="C13" s="30"/>
      <c r="E13" s="58"/>
      <c r="F13" s="62"/>
    </row>
    <row r="14" spans="2:6" ht="14.25">
      <c r="B14" s="53" t="s">
        <v>13</v>
      </c>
      <c r="C14" s="29">
        <v>4</v>
      </c>
      <c r="E14" s="53" t="s">
        <v>14</v>
      </c>
      <c r="F14" s="52">
        <f>ROUND(C16/C10/C14,0)</f>
        <v>2</v>
      </c>
    </row>
    <row r="15" spans="2:6">
      <c r="B15" s="58"/>
      <c r="C15" s="30"/>
      <c r="E15" s="1"/>
      <c r="F15" s="5"/>
    </row>
    <row r="16" spans="2:6" ht="14.25">
      <c r="B16" s="53" t="s">
        <v>15</v>
      </c>
      <c r="C16" s="29">
        <v>20</v>
      </c>
      <c r="E16" s="138" t="s">
        <v>16</v>
      </c>
      <c r="F16" s="52">
        <f>C8/F12</f>
        <v>50</v>
      </c>
    </row>
    <row r="17" spans="2:6">
      <c r="B17" s="53"/>
      <c r="C17" s="30"/>
      <c r="E17" s="139" t="s">
        <v>17</v>
      </c>
      <c r="F17" s="52">
        <f>F16/5</f>
        <v>10</v>
      </c>
    </row>
    <row r="18" spans="2:6" ht="14.25">
      <c r="B18" s="53"/>
      <c r="C18" s="7"/>
      <c r="E18" s="140" t="s">
        <v>18</v>
      </c>
      <c r="F18" s="62"/>
    </row>
    <row r="19" spans="2:6">
      <c r="B19" s="58"/>
      <c r="C19" s="7"/>
      <c r="E19" s="139" t="s">
        <v>19</v>
      </c>
      <c r="F19" s="52">
        <f>+F17*7</f>
        <v>70</v>
      </c>
    </row>
    <row r="20" spans="2:6">
      <c r="B20" s="1"/>
      <c r="C20" s="5"/>
      <c r="E20" s="1"/>
      <c r="F20" s="171"/>
    </row>
    <row r="21" spans="2:6" ht="22.5" customHeight="1" thickBot="1">
      <c r="B21" s="79" t="s">
        <v>20</v>
      </c>
      <c r="C21" s="144">
        <v>45139</v>
      </c>
      <c r="E21" s="79" t="s">
        <v>21</v>
      </c>
      <c r="F21" s="145">
        <f>C21+(F16/5*7)</f>
        <v>45209</v>
      </c>
    </row>
    <row r="22" spans="2:6" ht="22.5" customHeight="1">
      <c r="C22" s="9"/>
    </row>
    <row r="23" spans="2:6" ht="24.75" customHeight="1">
      <c r="B23" s="180" t="s">
        <v>22</v>
      </c>
      <c r="C23" s="181"/>
      <c r="D23" s="181"/>
      <c r="E23" s="181"/>
      <c r="F23" s="182"/>
    </row>
    <row r="24" spans="2:6" ht="24.75" customHeight="1">
      <c r="B24" s="183" t="s">
        <v>23</v>
      </c>
      <c r="C24" s="184"/>
      <c r="D24" s="184"/>
      <c r="E24" s="184"/>
      <c r="F24" s="185"/>
    </row>
    <row r="25" spans="2:6" ht="15" customHeight="1">
      <c r="B25" s="186" t="s">
        <v>24</v>
      </c>
      <c r="C25" s="187"/>
      <c r="D25" s="187"/>
      <c r="E25" s="187"/>
      <c r="F25" s="188"/>
    </row>
    <row r="26" spans="2:6" ht="13.5" customHeight="1">
      <c r="B26" s="186" t="s">
        <v>25</v>
      </c>
      <c r="C26" s="187"/>
      <c r="D26" s="187"/>
      <c r="E26" s="187"/>
      <c r="F26" s="188"/>
    </row>
    <row r="27" spans="2:6" ht="38.25" customHeight="1">
      <c r="B27" s="189" t="s">
        <v>26</v>
      </c>
      <c r="C27" s="190"/>
      <c r="D27" s="190"/>
      <c r="E27" s="190"/>
      <c r="F27" s="191"/>
    </row>
    <row r="28" spans="2:6">
      <c r="C28"/>
      <c r="D28"/>
      <c r="F28"/>
    </row>
    <row r="29" spans="2:6">
      <c r="C29"/>
      <c r="D29"/>
      <c r="F29"/>
    </row>
    <row r="30" spans="2:6">
      <c r="C30"/>
      <c r="D30"/>
      <c r="F30"/>
    </row>
    <row r="31" spans="2:6">
      <c r="C31"/>
      <c r="D31"/>
      <c r="F31"/>
    </row>
    <row r="32" spans="2:6">
      <c r="C32"/>
      <c r="D32"/>
      <c r="F32"/>
    </row>
    <row r="33" spans="3:6">
      <c r="C33"/>
      <c r="D33"/>
      <c r="F33"/>
    </row>
    <row r="34" spans="3:6">
      <c r="C34"/>
      <c r="D34"/>
      <c r="F34"/>
    </row>
    <row r="35" spans="3:6">
      <c r="C35"/>
      <c r="D35"/>
      <c r="E35" s="233"/>
      <c r="F35" s="233"/>
    </row>
  </sheetData>
  <sheetProtection formatCells="0" formatColumns="0" formatRows="0" insertColumns="0" insertRows="0" insertHyperlinks="0" selectLockedCells="1" sort="0" autoFilter="0" pivotTables="0"/>
  <mergeCells count="10">
    <mergeCell ref="B1:F1"/>
    <mergeCell ref="B2:F2"/>
    <mergeCell ref="B4:C4"/>
    <mergeCell ref="E4:F4"/>
    <mergeCell ref="E35:F35"/>
    <mergeCell ref="B23:F23"/>
    <mergeCell ref="B24:F24"/>
    <mergeCell ref="B25:F25"/>
    <mergeCell ref="B26:F26"/>
    <mergeCell ref="B27:F2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48"/>
  <sheetViews>
    <sheetView zoomScaleNormal="100" workbookViewId="0">
      <selection activeCell="F11" sqref="F11"/>
    </sheetView>
  </sheetViews>
  <sheetFormatPr defaultColWidth="8.7109375" defaultRowHeight="12.75"/>
  <cols>
    <col min="1" max="1" width="2.140625" customWidth="1"/>
    <col min="2" max="2" width="54.7109375" customWidth="1"/>
    <col min="3" max="3" width="14.140625" style="4" customWidth="1"/>
    <col min="4" max="4" width="3.7109375" style="4" customWidth="1"/>
    <col min="5" max="5" width="62.28515625" customWidth="1"/>
    <col min="6" max="6" width="13.140625" style="4" customWidth="1"/>
  </cols>
  <sheetData>
    <row r="1" spans="2:10" ht="19.5" customHeight="1">
      <c r="B1" s="174" t="s">
        <v>27</v>
      </c>
      <c r="C1" s="174"/>
      <c r="D1" s="174"/>
      <c r="E1" s="174"/>
      <c r="F1" s="174"/>
    </row>
    <row r="2" spans="2:10" ht="24" customHeight="1">
      <c r="B2" s="175" t="s">
        <v>28</v>
      </c>
      <c r="C2" s="175"/>
      <c r="D2" s="175"/>
      <c r="E2" s="175"/>
      <c r="F2" s="175"/>
    </row>
    <row r="3" spans="2:10" ht="13.5" thickBot="1"/>
    <row r="4" spans="2:10" ht="13.5" thickBot="1">
      <c r="B4" s="198" t="s">
        <v>29</v>
      </c>
      <c r="C4" s="199"/>
      <c r="E4" s="178" t="s">
        <v>30</v>
      </c>
      <c r="F4" s="179"/>
    </row>
    <row r="5" spans="2:10" ht="13.5" thickBot="1"/>
    <row r="6" spans="2:10" ht="13.5" thickBot="1">
      <c r="B6" s="3" t="s">
        <v>4</v>
      </c>
      <c r="C6" s="38" t="s">
        <v>5</v>
      </c>
      <c r="E6" s="3" t="s">
        <v>6</v>
      </c>
      <c r="F6" s="21" t="s">
        <v>5</v>
      </c>
    </row>
    <row r="7" spans="2:10">
      <c r="B7" s="1"/>
      <c r="C7" s="34"/>
      <c r="E7" s="1"/>
      <c r="F7" s="5"/>
    </row>
    <row r="8" spans="2:10">
      <c r="B8" s="10" t="s">
        <v>31</v>
      </c>
      <c r="C8" s="39">
        <f>'Fieldwork Duration'!C8</f>
        <v>12000</v>
      </c>
      <c r="E8" s="10" t="s">
        <v>32</v>
      </c>
      <c r="F8" s="27">
        <f>C8/C10</f>
        <v>600</v>
      </c>
    </row>
    <row r="9" spans="2:10">
      <c r="B9" s="1"/>
      <c r="C9" s="34"/>
      <c r="E9" s="10" t="s">
        <v>33</v>
      </c>
      <c r="F9" s="20">
        <f>C12*5</f>
        <v>50</v>
      </c>
    </row>
    <row r="10" spans="2:10">
      <c r="B10" s="10" t="s">
        <v>34</v>
      </c>
      <c r="C10" s="40">
        <f>'Fieldwork Duration'!C16</f>
        <v>20</v>
      </c>
      <c r="E10" s="156" t="s">
        <v>35</v>
      </c>
      <c r="F10" s="27">
        <f>C8/F9</f>
        <v>240</v>
      </c>
      <c r="H10" s="54"/>
    </row>
    <row r="11" spans="2:10">
      <c r="B11" s="10"/>
      <c r="C11" s="41"/>
      <c r="E11" s="93" t="s">
        <v>36</v>
      </c>
      <c r="F11" s="94">
        <f>'Fieldwork Duration'!F19</f>
        <v>70</v>
      </c>
    </row>
    <row r="12" spans="2:10" ht="28.5" customHeight="1">
      <c r="B12" s="17" t="s">
        <v>37</v>
      </c>
      <c r="C12" s="50">
        <f>'Fieldwork Duration'!F17</f>
        <v>10</v>
      </c>
      <c r="E12" s="56" t="s">
        <v>38</v>
      </c>
      <c r="F12" s="52">
        <f>F10/(C14*C16)</f>
        <v>20</v>
      </c>
    </row>
    <row r="13" spans="2:10">
      <c r="B13" s="10"/>
      <c r="C13" s="41"/>
      <c r="E13" s="1"/>
      <c r="F13" s="5"/>
    </row>
    <row r="14" spans="2:10">
      <c r="B14" s="10" t="s">
        <v>39</v>
      </c>
      <c r="C14" s="40">
        <f>'Fieldwork Duration'!C10</f>
        <v>3</v>
      </c>
      <c r="E14" s="18" t="s">
        <v>40</v>
      </c>
      <c r="F14" s="5"/>
    </row>
    <row r="15" spans="2:10">
      <c r="B15" s="16"/>
      <c r="C15" s="42"/>
      <c r="E15" s="14" t="s">
        <v>41</v>
      </c>
      <c r="F15" s="20">
        <f>F12*1</f>
        <v>20</v>
      </c>
    </row>
    <row r="16" spans="2:10">
      <c r="B16" s="1" t="s">
        <v>42</v>
      </c>
      <c r="C16" s="40">
        <f>'Fieldwork Duration'!C14</f>
        <v>4</v>
      </c>
      <c r="E16" s="12" t="s">
        <v>43</v>
      </c>
      <c r="F16" s="20">
        <f>F12*C16</f>
        <v>80</v>
      </c>
      <c r="G16" s="92"/>
      <c r="J16" s="11"/>
    </row>
    <row r="17" spans="2:8" ht="13.5" thickBot="1">
      <c r="B17" s="2"/>
      <c r="C17" s="43"/>
      <c r="E17" s="13" t="s">
        <v>44</v>
      </c>
      <c r="F17" s="20">
        <f>F12*1</f>
        <v>20</v>
      </c>
      <c r="H17" s="11"/>
    </row>
    <row r="18" spans="2:8" ht="13.5" customHeight="1" thickBot="1">
      <c r="E18" s="15" t="s">
        <v>45</v>
      </c>
      <c r="F18" s="44">
        <f>SUM(F15:F17)</f>
        <v>120</v>
      </c>
    </row>
    <row r="19" spans="2:8" ht="13.5" thickBot="1">
      <c r="B19" s="176" t="s">
        <v>2</v>
      </c>
      <c r="C19" s="177"/>
      <c r="E19" s="23" t="s">
        <v>46</v>
      </c>
      <c r="F19" s="45">
        <f>+F18*1.1</f>
        <v>132</v>
      </c>
    </row>
    <row r="20" spans="2:8" ht="13.5" thickBot="1">
      <c r="F20"/>
    </row>
    <row r="21" spans="2:8" ht="13.5" thickBot="1">
      <c r="B21" s="37" t="s">
        <v>4</v>
      </c>
      <c r="C21" s="22" t="s">
        <v>5</v>
      </c>
      <c r="E21" s="178" t="s">
        <v>47</v>
      </c>
      <c r="F21" s="179"/>
    </row>
    <row r="22" spans="2:8" ht="13.5" thickBot="1">
      <c r="B22" s="33"/>
      <c r="C22" s="5"/>
    </row>
    <row r="23" spans="2:8" ht="13.5" thickBot="1">
      <c r="B23" s="19" t="s">
        <v>48</v>
      </c>
      <c r="C23" s="34"/>
      <c r="D23"/>
      <c r="E23" s="3" t="s">
        <v>6</v>
      </c>
      <c r="F23" s="21" t="s">
        <v>5</v>
      </c>
    </row>
    <row r="24" spans="2:8" ht="14.25">
      <c r="B24" s="36" t="s">
        <v>49</v>
      </c>
      <c r="C24" s="32">
        <v>1</v>
      </c>
      <c r="D24"/>
      <c r="E24" s="14" t="s">
        <v>41</v>
      </c>
      <c r="F24" s="20">
        <f>F15</f>
        <v>20</v>
      </c>
    </row>
    <row r="25" spans="2:8">
      <c r="B25" s="36"/>
      <c r="C25" s="5"/>
      <c r="D25"/>
      <c r="E25" s="12" t="s">
        <v>43</v>
      </c>
      <c r="F25" s="20">
        <f>F16</f>
        <v>80</v>
      </c>
    </row>
    <row r="26" spans="2:8" ht="14.25">
      <c r="B26" s="36" t="s">
        <v>50</v>
      </c>
      <c r="C26" s="32">
        <v>6</v>
      </c>
      <c r="D26"/>
      <c r="E26" s="13" t="s">
        <v>44</v>
      </c>
      <c r="F26" s="20">
        <f>F17</f>
        <v>20</v>
      </c>
    </row>
    <row r="27" spans="2:8">
      <c r="B27" s="36"/>
      <c r="C27" s="5"/>
      <c r="D27"/>
      <c r="E27" s="26" t="s">
        <v>51</v>
      </c>
      <c r="F27" s="46">
        <f>F18/100*10</f>
        <v>12</v>
      </c>
    </row>
    <row r="28" spans="2:8" ht="13.5" thickBot="1">
      <c r="B28" s="35"/>
      <c r="C28" s="6"/>
      <c r="D28"/>
      <c r="E28" s="13" t="s">
        <v>52</v>
      </c>
      <c r="F28" s="46">
        <f>C24</f>
        <v>1</v>
      </c>
    </row>
    <row r="29" spans="2:8" ht="13.5" thickBot="1">
      <c r="D29"/>
      <c r="E29" s="13" t="s">
        <v>53</v>
      </c>
      <c r="F29" s="46">
        <f>C26</f>
        <v>6</v>
      </c>
    </row>
    <row r="30" spans="2:8" ht="15" thickBot="1">
      <c r="B30" s="196" t="s">
        <v>54</v>
      </c>
      <c r="C30" s="197"/>
      <c r="D30"/>
      <c r="E30" s="25" t="s">
        <v>55</v>
      </c>
      <c r="F30" s="47">
        <f>SUM(F24:F29)</f>
        <v>139</v>
      </c>
    </row>
    <row r="31" spans="2:8" ht="12.75" customHeight="1">
      <c r="B31" s="192"/>
      <c r="C31" s="193"/>
      <c r="D31"/>
    </row>
    <row r="32" spans="2:8" ht="12.75" customHeight="1">
      <c r="B32" s="192"/>
      <c r="C32" s="193"/>
      <c r="D32"/>
      <c r="E32" s="196" t="s">
        <v>56</v>
      </c>
      <c r="F32" s="197"/>
    </row>
    <row r="33" spans="2:6">
      <c r="B33" s="192"/>
      <c r="C33" s="193"/>
      <c r="D33"/>
      <c r="E33" s="192"/>
      <c r="F33" s="193"/>
    </row>
    <row r="34" spans="2:6" ht="14.25" customHeight="1">
      <c r="B34" s="192"/>
      <c r="C34" s="193"/>
      <c r="D34"/>
      <c r="E34" s="192"/>
      <c r="F34" s="193"/>
    </row>
    <row r="35" spans="2:6" ht="14.25" customHeight="1">
      <c r="B35" s="192" t="s">
        <v>57</v>
      </c>
      <c r="C35" s="193"/>
      <c r="D35"/>
      <c r="E35" s="194"/>
      <c r="F35" s="195"/>
    </row>
    <row r="36" spans="2:6" ht="26.25" customHeight="1">
      <c r="B36" s="192"/>
      <c r="C36" s="193"/>
      <c r="D36"/>
      <c r="F36"/>
    </row>
    <row r="37" spans="2:6" ht="12.75" customHeight="1">
      <c r="B37" s="192" t="s">
        <v>58</v>
      </c>
      <c r="C37" s="193"/>
      <c r="D37"/>
      <c r="F37"/>
    </row>
    <row r="38" spans="2:6">
      <c r="B38" s="192"/>
      <c r="C38" s="193"/>
      <c r="D38"/>
      <c r="F38"/>
    </row>
    <row r="39" spans="2:6">
      <c r="B39" s="192"/>
      <c r="C39" s="193"/>
      <c r="D39"/>
      <c r="F39"/>
    </row>
    <row r="40" spans="2:6">
      <c r="B40" s="194"/>
      <c r="C40" s="195"/>
      <c r="F40"/>
    </row>
    <row r="41" spans="2:6" ht="12.75" customHeight="1">
      <c r="F41"/>
    </row>
    <row r="42" spans="2:6">
      <c r="F42"/>
    </row>
    <row r="43" spans="2:6">
      <c r="F43"/>
    </row>
    <row r="44" spans="2:6">
      <c r="F44"/>
    </row>
    <row r="45" spans="2:6">
      <c r="F45"/>
    </row>
    <row r="46" spans="2:6">
      <c r="F46"/>
    </row>
    <row r="47" spans="2:6">
      <c r="F47"/>
    </row>
    <row r="48" spans="2:6">
      <c r="F48"/>
    </row>
  </sheetData>
  <mergeCells count="10">
    <mergeCell ref="B37:C40"/>
    <mergeCell ref="E32:F35"/>
    <mergeCell ref="B1:F1"/>
    <mergeCell ref="B2:F2"/>
    <mergeCell ref="B4:C4"/>
    <mergeCell ref="E4:F4"/>
    <mergeCell ref="B19:C19"/>
    <mergeCell ref="E21:F21"/>
    <mergeCell ref="B30:C34"/>
    <mergeCell ref="B35:C36"/>
  </mergeCells>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48A4F-3F24-4C28-97D9-36E3539588EB}">
  <dimension ref="B1:F32"/>
  <sheetViews>
    <sheetView zoomScaleNormal="100" workbookViewId="0">
      <selection activeCell="E18" sqref="E18"/>
    </sheetView>
  </sheetViews>
  <sheetFormatPr defaultColWidth="8.7109375" defaultRowHeight="12.75"/>
  <cols>
    <col min="1" max="1" width="2.140625" customWidth="1"/>
    <col min="2" max="2" width="47.7109375" customWidth="1"/>
    <col min="3" max="3" width="12.7109375" style="4" customWidth="1"/>
    <col min="4" max="4" width="3.28515625" style="4" customWidth="1"/>
    <col min="5" max="5" width="50.42578125" customWidth="1"/>
    <col min="6" max="6" width="14.7109375" style="4" customWidth="1"/>
  </cols>
  <sheetData>
    <row r="1" spans="2:6" ht="19.5" customHeight="1">
      <c r="B1" s="174" t="s">
        <v>59</v>
      </c>
      <c r="C1" s="174"/>
      <c r="D1" s="174"/>
      <c r="E1" s="174"/>
      <c r="F1" s="174"/>
    </row>
    <row r="2" spans="2:6" ht="24.6" customHeight="1">
      <c r="B2" s="206" t="s">
        <v>60</v>
      </c>
      <c r="C2" s="206"/>
      <c r="D2" s="206"/>
      <c r="E2" s="206"/>
      <c r="F2" s="206"/>
    </row>
    <row r="3" spans="2:6" ht="13.5" thickBot="1"/>
    <row r="4" spans="2:6" ht="13.5" thickBot="1">
      <c r="B4" s="207" t="s">
        <v>29</v>
      </c>
      <c r="C4" s="207"/>
      <c r="D4" s="54"/>
      <c r="E4" s="54"/>
      <c r="F4" s="54"/>
    </row>
    <row r="5" spans="2:6">
      <c r="B5" s="24"/>
      <c r="C5" s="1"/>
    </row>
    <row r="6" spans="2:6">
      <c r="B6" s="24" t="s">
        <v>32</v>
      </c>
      <c r="C6" s="142">
        <f>'Fieldwork Duration'!C8/'Fieldwork Duration'!C16</f>
        <v>600</v>
      </c>
    </row>
    <row r="7" spans="2:6" ht="13.5" thickBot="1">
      <c r="B7" s="31"/>
      <c r="C7" s="8"/>
    </row>
    <row r="8" spans="2:6" ht="13.5" thickBot="1"/>
    <row r="9" spans="2:6" ht="13.5" thickBot="1">
      <c r="B9" s="176" t="s">
        <v>2</v>
      </c>
      <c r="C9" s="177"/>
      <c r="E9" s="178" t="s">
        <v>3</v>
      </c>
      <c r="F9" s="179"/>
    </row>
    <row r="10" spans="2:6" ht="13.5" thickBot="1"/>
    <row r="11" spans="2:6" ht="13.5" thickBot="1">
      <c r="B11" s="3" t="s">
        <v>4</v>
      </c>
      <c r="C11" s="22" t="s">
        <v>5</v>
      </c>
      <c r="E11" s="3" t="s">
        <v>6</v>
      </c>
      <c r="F11" s="21" t="s">
        <v>5</v>
      </c>
    </row>
    <row r="12" spans="2:6">
      <c r="B12" s="1"/>
      <c r="C12" s="5"/>
      <c r="E12" s="1"/>
      <c r="F12" s="5"/>
    </row>
    <row r="13" spans="2:6" ht="28.15" customHeight="1">
      <c r="B13" s="56" t="s">
        <v>61</v>
      </c>
      <c r="C13" s="101">
        <v>1</v>
      </c>
      <c r="D13" s="57"/>
      <c r="E13" s="53" t="s">
        <v>62</v>
      </c>
      <c r="F13" s="55">
        <f>C6/C13*1.2</f>
        <v>720</v>
      </c>
    </row>
    <row r="14" spans="2:6">
      <c r="B14" s="58"/>
      <c r="C14" s="59"/>
      <c r="D14" s="57"/>
      <c r="E14" s="58"/>
      <c r="F14" s="60"/>
    </row>
    <row r="15" spans="2:6" ht="14.25">
      <c r="B15" s="53" t="s">
        <v>63</v>
      </c>
      <c r="C15" s="51">
        <v>15</v>
      </c>
      <c r="D15" s="57"/>
      <c r="E15" s="53" t="s">
        <v>64</v>
      </c>
      <c r="F15" s="55">
        <f>F13/C15</f>
        <v>48</v>
      </c>
    </row>
    <row r="16" spans="2:6">
      <c r="B16" s="53"/>
      <c r="C16" s="61"/>
      <c r="D16" s="57"/>
      <c r="E16" s="53"/>
      <c r="F16" s="62"/>
    </row>
    <row r="17" spans="2:6">
      <c r="B17" s="53"/>
      <c r="C17" s="61"/>
      <c r="D17" s="57"/>
      <c r="E17" s="19" t="s">
        <v>65</v>
      </c>
      <c r="F17" s="55">
        <f>F15/6</f>
        <v>8</v>
      </c>
    </row>
    <row r="18" spans="2:6" ht="14.25">
      <c r="B18" s="58"/>
      <c r="C18" s="61"/>
      <c r="D18" s="57"/>
      <c r="E18" s="16" t="s">
        <v>66</v>
      </c>
      <c r="F18" s="5"/>
    </row>
    <row r="19" spans="2:6">
      <c r="B19" s="53" t="s">
        <v>67</v>
      </c>
      <c r="C19" s="102">
        <v>44593</v>
      </c>
      <c r="D19" s="57"/>
      <c r="E19" s="53" t="s">
        <v>21</v>
      </c>
      <c r="F19" s="103">
        <f>C19+(F15/6*7)</f>
        <v>44649</v>
      </c>
    </row>
    <row r="20" spans="2:6" ht="13.5" thickBot="1">
      <c r="B20" s="2"/>
      <c r="C20" s="8"/>
      <c r="E20" s="2"/>
      <c r="F20" s="6"/>
    </row>
    <row r="21" spans="2:6">
      <c r="C21" s="9"/>
    </row>
    <row r="22" spans="2:6" ht="48.75" customHeight="1">
      <c r="B22" s="196" t="s">
        <v>68</v>
      </c>
      <c r="C22" s="208"/>
      <c r="D22" s="208"/>
      <c r="E22" s="208"/>
      <c r="F22" s="197"/>
    </row>
    <row r="23" spans="2:6" ht="25.5" customHeight="1">
      <c r="B23" s="200" t="s">
        <v>69</v>
      </c>
      <c r="C23" s="201"/>
      <c r="D23" s="201"/>
      <c r="E23" s="201"/>
      <c r="F23" s="202"/>
    </row>
    <row r="24" spans="2:6" ht="35.25" customHeight="1">
      <c r="B24" s="200" t="s">
        <v>70</v>
      </c>
      <c r="C24" s="201"/>
      <c r="D24" s="201"/>
      <c r="E24" s="201"/>
      <c r="F24" s="202"/>
    </row>
    <row r="25" spans="2:6">
      <c r="B25" s="203" t="s">
        <v>71</v>
      </c>
      <c r="C25" s="204"/>
      <c r="D25" s="204"/>
      <c r="E25" s="204"/>
      <c r="F25" s="205"/>
    </row>
    <row r="26" spans="2:6">
      <c r="C26"/>
      <c r="D26"/>
      <c r="F26"/>
    </row>
    <row r="27" spans="2:6">
      <c r="C27"/>
      <c r="D27"/>
      <c r="F27"/>
    </row>
    <row r="28" spans="2:6">
      <c r="C28"/>
      <c r="D28"/>
      <c r="F28"/>
    </row>
    <row r="29" spans="2:6">
      <c r="C29"/>
      <c r="D29"/>
      <c r="F29"/>
    </row>
    <row r="30" spans="2:6">
      <c r="C30"/>
      <c r="D30"/>
      <c r="F30"/>
    </row>
    <row r="31" spans="2:6">
      <c r="C31"/>
      <c r="D31"/>
      <c r="F31"/>
    </row>
    <row r="32" spans="2:6">
      <c r="C32"/>
      <c r="D32"/>
      <c r="E32" s="233"/>
      <c r="F32" s="233"/>
    </row>
  </sheetData>
  <sheetProtection formatCells="0" formatColumns="0" formatRows="0" insertColumns="0" insertRows="0" insertHyperlinks="0" selectLockedCells="1" sort="0" autoFilter="0" pivotTables="0"/>
  <mergeCells count="10">
    <mergeCell ref="B23:F23"/>
    <mergeCell ref="B24:F24"/>
    <mergeCell ref="B25:F25"/>
    <mergeCell ref="E32:F32"/>
    <mergeCell ref="B1:F1"/>
    <mergeCell ref="B2:F2"/>
    <mergeCell ref="B4:C4"/>
    <mergeCell ref="B9:C9"/>
    <mergeCell ref="E9:F9"/>
    <mergeCell ref="B22:F2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36"/>
  <sheetViews>
    <sheetView zoomScaleNormal="100" workbookViewId="0">
      <selection activeCell="C34" sqref="C34"/>
    </sheetView>
  </sheetViews>
  <sheetFormatPr defaultColWidth="8.7109375" defaultRowHeight="12.75"/>
  <cols>
    <col min="1" max="1" width="2.140625" customWidth="1"/>
    <col min="2" max="2" width="54.7109375" customWidth="1"/>
    <col min="3" max="3" width="14.140625" style="4" customWidth="1"/>
    <col min="4" max="4" width="3.7109375" style="4" customWidth="1"/>
    <col min="5" max="5" width="57.5703125" customWidth="1"/>
    <col min="6" max="6" width="13.140625" style="4" customWidth="1"/>
  </cols>
  <sheetData>
    <row r="1" spans="2:10" ht="19.5" customHeight="1">
      <c r="B1" s="174" t="s">
        <v>72</v>
      </c>
      <c r="C1" s="174"/>
      <c r="D1" s="174"/>
      <c r="E1" s="174"/>
      <c r="F1" s="174"/>
    </row>
    <row r="2" spans="2:10" ht="24" customHeight="1">
      <c r="B2" s="175" t="s">
        <v>73</v>
      </c>
      <c r="C2" s="175"/>
      <c r="D2" s="175"/>
      <c r="E2" s="175"/>
      <c r="F2" s="175"/>
    </row>
    <row r="3" spans="2:10" ht="13.5" thickBot="1"/>
    <row r="4" spans="2:10" ht="13.5" thickBot="1">
      <c r="B4" s="198" t="s">
        <v>74</v>
      </c>
      <c r="C4" s="199"/>
      <c r="E4" s="178" t="s">
        <v>30</v>
      </c>
      <c r="F4" s="179"/>
    </row>
    <row r="5" spans="2:10" ht="13.5" thickBot="1"/>
    <row r="6" spans="2:10" ht="13.5" thickBot="1">
      <c r="B6" s="3" t="s">
        <v>4</v>
      </c>
      <c r="C6" s="38" t="s">
        <v>5</v>
      </c>
      <c r="E6" s="3" t="s">
        <v>6</v>
      </c>
      <c r="F6" s="21" t="s">
        <v>5</v>
      </c>
    </row>
    <row r="7" spans="2:10">
      <c r="B7" s="48"/>
      <c r="C7" s="73"/>
      <c r="E7" s="75"/>
      <c r="F7" s="49"/>
    </row>
    <row r="8" spans="2:10">
      <c r="B8" s="53" t="s">
        <v>32</v>
      </c>
      <c r="C8" s="63">
        <f>'Listing Duration'!C6</f>
        <v>600</v>
      </c>
      <c r="D8" s="57"/>
      <c r="E8" s="76" t="s">
        <v>40</v>
      </c>
      <c r="F8" s="60"/>
    </row>
    <row r="9" spans="2:10" ht="14.25">
      <c r="B9" s="58"/>
      <c r="C9" s="64"/>
      <c r="D9" s="57"/>
      <c r="E9" s="68" t="s">
        <v>75</v>
      </c>
      <c r="F9" s="52">
        <f>ROUNDUP(C10/3,0)</f>
        <v>5</v>
      </c>
    </row>
    <row r="10" spans="2:10">
      <c r="B10" s="53" t="s">
        <v>76</v>
      </c>
      <c r="C10" s="66">
        <f>'Listing Duration'!C15</f>
        <v>15</v>
      </c>
      <c r="D10" s="57"/>
      <c r="E10" s="68" t="s">
        <v>77</v>
      </c>
      <c r="F10" s="52">
        <f>C10</f>
        <v>15</v>
      </c>
    </row>
    <row r="11" spans="2:10">
      <c r="B11" s="53"/>
      <c r="C11" s="67"/>
      <c r="D11" s="57"/>
      <c r="E11" s="68" t="s">
        <v>78</v>
      </c>
      <c r="F11" s="52">
        <f>C10</f>
        <v>15</v>
      </c>
    </row>
    <row r="12" spans="2:10" ht="13.5" thickBot="1">
      <c r="B12" s="56" t="s">
        <v>79</v>
      </c>
      <c r="C12" s="50">
        <f>'Listing Duration'!F17</f>
        <v>8</v>
      </c>
      <c r="D12" s="57"/>
      <c r="E12" s="77" t="s">
        <v>45</v>
      </c>
      <c r="F12" s="70">
        <f>SUM(F9:F11)</f>
        <v>35</v>
      </c>
    </row>
    <row r="13" spans="2:10" ht="15" thickBot="1">
      <c r="B13" s="74" t="s">
        <v>80</v>
      </c>
      <c r="C13" s="69"/>
      <c r="D13" s="57"/>
      <c r="E13" s="71" t="s">
        <v>81</v>
      </c>
      <c r="F13" s="72">
        <f>ROUNDUP(F12*1.1,0)</f>
        <v>39</v>
      </c>
    </row>
    <row r="14" spans="2:10" ht="13.5" thickBot="1">
      <c r="B14" s="65"/>
      <c r="C14" s="57"/>
      <c r="D14" s="57"/>
    </row>
    <row r="15" spans="2:10" ht="13.5" thickBot="1">
      <c r="B15" s="176" t="s">
        <v>2</v>
      </c>
      <c r="C15" s="177"/>
      <c r="D15" s="57"/>
      <c r="E15" s="122" t="s">
        <v>47</v>
      </c>
      <c r="F15" s="123"/>
    </row>
    <row r="16" spans="2:10" ht="13.5" thickBot="1">
      <c r="D16" s="57"/>
      <c r="J16" s="11"/>
    </row>
    <row r="17" spans="2:6" ht="13.5" thickBot="1">
      <c r="B17" s="37" t="s">
        <v>4</v>
      </c>
      <c r="C17" s="22" t="s">
        <v>5</v>
      </c>
      <c r="D17" s="57"/>
      <c r="E17" s="3" t="s">
        <v>6</v>
      </c>
      <c r="F17" s="21" t="s">
        <v>5</v>
      </c>
    </row>
    <row r="18" spans="2:6" ht="13.5" customHeight="1">
      <c r="B18" s="48"/>
      <c r="C18" s="73"/>
      <c r="D18" s="57"/>
      <c r="E18" s="1"/>
      <c r="F18" s="5"/>
    </row>
    <row r="19" spans="2:6">
      <c r="B19" s="19" t="s">
        <v>48</v>
      </c>
      <c r="C19" s="34"/>
      <c r="E19" s="14" t="s">
        <v>41</v>
      </c>
      <c r="F19" s="20">
        <f>F9</f>
        <v>5</v>
      </c>
    </row>
    <row r="20" spans="2:6" ht="14.25">
      <c r="B20" s="24" t="s">
        <v>82</v>
      </c>
      <c r="C20" s="104">
        <v>1</v>
      </c>
      <c r="E20" s="12" t="s">
        <v>77</v>
      </c>
      <c r="F20" s="20">
        <f>F10</f>
        <v>15</v>
      </c>
    </row>
    <row r="21" spans="2:6">
      <c r="B21" s="24"/>
      <c r="C21" s="41"/>
      <c r="E21" s="12" t="s">
        <v>78</v>
      </c>
      <c r="F21" s="20">
        <f>F11</f>
        <v>15</v>
      </c>
    </row>
    <row r="22" spans="2:6" ht="14.25">
      <c r="B22" s="24" t="s">
        <v>83</v>
      </c>
      <c r="C22" s="104">
        <v>2</v>
      </c>
      <c r="E22" s="26" t="s">
        <v>84</v>
      </c>
      <c r="F22" s="20">
        <f>ROUNDUP(F12*0.1,0)</f>
        <v>4</v>
      </c>
    </row>
    <row r="23" spans="2:6" ht="13.5" thickBot="1">
      <c r="B23" s="2"/>
      <c r="C23" s="105"/>
      <c r="D23"/>
      <c r="E23" s="13" t="s">
        <v>85</v>
      </c>
      <c r="F23" s="46">
        <f>C20</f>
        <v>1</v>
      </c>
    </row>
    <row r="24" spans="2:6" ht="13.5" customHeight="1" thickBot="1">
      <c r="D24"/>
      <c r="E24" s="13" t="s">
        <v>86</v>
      </c>
      <c r="F24" s="46">
        <f>C22</f>
        <v>2</v>
      </c>
    </row>
    <row r="25" spans="2:6" ht="15" customHeight="1" thickBot="1">
      <c r="B25" s="196" t="s">
        <v>87</v>
      </c>
      <c r="C25" s="197"/>
      <c r="D25"/>
      <c r="E25" s="25" t="s">
        <v>88</v>
      </c>
      <c r="F25" s="47">
        <f>SUM(F19:F24)</f>
        <v>42</v>
      </c>
    </row>
    <row r="26" spans="2:6" ht="12.75" customHeight="1">
      <c r="B26" s="192"/>
      <c r="C26" s="193"/>
      <c r="D26"/>
    </row>
    <row r="27" spans="2:6" ht="12.75" customHeight="1">
      <c r="B27" s="192" t="s">
        <v>89</v>
      </c>
      <c r="C27" s="193"/>
      <c r="D27"/>
      <c r="E27" s="196" t="s">
        <v>90</v>
      </c>
      <c r="F27" s="197"/>
    </row>
    <row r="28" spans="2:6" ht="14.65" customHeight="1">
      <c r="B28" s="194"/>
      <c r="C28" s="195"/>
      <c r="D28"/>
      <c r="E28" s="192" t="s">
        <v>91</v>
      </c>
      <c r="F28" s="193"/>
    </row>
    <row r="29" spans="2:6" ht="12.75" customHeight="1">
      <c r="D29"/>
      <c r="E29" s="192"/>
      <c r="F29" s="193"/>
    </row>
    <row r="30" spans="2:6" ht="12.4" customHeight="1">
      <c r="D30"/>
      <c r="E30" s="192" t="s">
        <v>92</v>
      </c>
      <c r="F30" s="193"/>
    </row>
    <row r="31" spans="2:6">
      <c r="D31"/>
      <c r="E31" s="194"/>
      <c r="F31" s="195"/>
    </row>
    <row r="32" spans="2:6">
      <c r="D32"/>
    </row>
    <row r="33" ht="12.75" customHeight="1"/>
    <row r="36" ht="12.75" customHeight="1"/>
  </sheetData>
  <mergeCells count="10">
    <mergeCell ref="B1:F1"/>
    <mergeCell ref="B2:F2"/>
    <mergeCell ref="B4:C4"/>
    <mergeCell ref="E4:F4"/>
    <mergeCell ref="B15:C15"/>
    <mergeCell ref="B27:C28"/>
    <mergeCell ref="E27:F27"/>
    <mergeCell ref="E28:F29"/>
    <mergeCell ref="E30:F31"/>
    <mergeCell ref="B25:C26"/>
  </mergeCells>
  <phoneticPr fontId="8"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F25"/>
  <sheetViews>
    <sheetView zoomScaleNormal="100" workbookViewId="0">
      <selection activeCell="E27" sqref="E27"/>
    </sheetView>
  </sheetViews>
  <sheetFormatPr defaultColWidth="8.7109375" defaultRowHeight="12.75"/>
  <cols>
    <col min="1" max="1" width="2.140625" customWidth="1"/>
    <col min="2" max="2" width="54.42578125" customWidth="1"/>
    <col min="3" max="3" width="14.5703125" style="4" customWidth="1"/>
    <col min="4" max="4" width="3.28515625" customWidth="1"/>
    <col min="5" max="5" width="54.42578125" customWidth="1"/>
    <col min="6" max="6" width="14.5703125" customWidth="1"/>
  </cols>
  <sheetData>
    <row r="1" spans="2:6" ht="19.5" customHeight="1">
      <c r="B1" s="174" t="s">
        <v>93</v>
      </c>
      <c r="C1" s="174"/>
    </row>
    <row r="2" spans="2:6" ht="12.75" customHeight="1">
      <c r="B2" s="209" t="s">
        <v>94</v>
      </c>
      <c r="C2" s="209"/>
    </row>
    <row r="3" spans="2:6" ht="12.75" customHeight="1" thickBot="1">
      <c r="B3" s="124"/>
      <c r="C3" s="124"/>
    </row>
    <row r="4" spans="2:6" ht="13.5" thickBot="1">
      <c r="B4" s="178" t="s">
        <v>3</v>
      </c>
      <c r="C4" s="179"/>
      <c r="E4" s="178" t="s">
        <v>95</v>
      </c>
      <c r="F4" s="179"/>
    </row>
    <row r="5" spans="2:6" ht="13.5" thickBot="1">
      <c r="F5" s="4"/>
    </row>
    <row r="6" spans="2:6" ht="13.5" thickBot="1">
      <c r="B6" s="3" t="s">
        <v>4</v>
      </c>
      <c r="C6" s="22" t="s">
        <v>5</v>
      </c>
      <c r="E6" s="3" t="s">
        <v>4</v>
      </c>
      <c r="F6" s="22" t="s">
        <v>5</v>
      </c>
    </row>
    <row r="7" spans="2:6">
      <c r="B7" s="1"/>
      <c r="C7" s="5"/>
      <c r="E7" s="1"/>
      <c r="F7" s="5"/>
    </row>
    <row r="8" spans="2:6" ht="14.25">
      <c r="B8" s="10" t="s">
        <v>96</v>
      </c>
      <c r="C8" s="146">
        <f>2*'Fieldwork Staff'!F17</f>
        <v>40</v>
      </c>
      <c r="E8" s="153" t="s">
        <v>97</v>
      </c>
      <c r="F8" s="149">
        <f>'Optional supplies'!C8</f>
        <v>17</v>
      </c>
    </row>
    <row r="9" spans="2:6">
      <c r="B9" s="1"/>
      <c r="C9" s="16"/>
      <c r="E9" s="10"/>
      <c r="F9" s="148"/>
    </row>
    <row r="10" spans="2:6" ht="14.25">
      <c r="B10" s="17" t="s">
        <v>98</v>
      </c>
      <c r="C10" s="147">
        <f>2*'Fieldwork Staff'!F17</f>
        <v>40</v>
      </c>
      <c r="E10" s="172" t="s">
        <v>99</v>
      </c>
      <c r="F10" s="149">
        <f>'Optional supplies'!F8</f>
        <v>17</v>
      </c>
    </row>
    <row r="11" spans="2:6" ht="13.5" thickBot="1">
      <c r="B11" s="1"/>
      <c r="C11" s="148"/>
      <c r="E11" s="2"/>
      <c r="F11" s="8"/>
    </row>
    <row r="12" spans="2:6" ht="13.9" customHeight="1">
      <c r="B12" s="153" t="s">
        <v>100</v>
      </c>
      <c r="C12" s="149">
        <f>'Fieldwork Staff'!F24+'Fieldwork Staff'!F25+'Fieldwork Staff'!F12+5</f>
        <v>125</v>
      </c>
    </row>
    <row r="13" spans="2:6" ht="15" customHeight="1">
      <c r="B13" s="153"/>
      <c r="C13" s="148"/>
      <c r="E13" s="196" t="s">
        <v>101</v>
      </c>
      <c r="F13" s="197"/>
    </row>
    <row r="14" spans="2:6" ht="20.25" customHeight="1">
      <c r="B14" s="153" t="s">
        <v>102</v>
      </c>
      <c r="C14" s="149">
        <f>ROUNDUP(1.1*'Fieldwork Duration'!C12,0)</f>
        <v>22</v>
      </c>
      <c r="E14" s="194"/>
      <c r="F14" s="195"/>
    </row>
    <row r="15" spans="2:6" ht="13.5" thickBot="1">
      <c r="B15" s="2"/>
      <c r="C15" s="8"/>
    </row>
    <row r="16" spans="2:6">
      <c r="C16" s="9"/>
      <c r="D16" s="152"/>
    </row>
    <row r="17" spans="2:3" ht="12.4" customHeight="1">
      <c r="B17" s="196" t="s">
        <v>103</v>
      </c>
      <c r="C17" s="197"/>
    </row>
    <row r="18" spans="2:3">
      <c r="B18" s="192"/>
      <c r="C18" s="193"/>
    </row>
    <row r="19" spans="2:3">
      <c r="B19" s="192"/>
      <c r="C19" s="193"/>
    </row>
    <row r="20" spans="2:3">
      <c r="B20" s="192"/>
      <c r="C20" s="193"/>
    </row>
    <row r="21" spans="2:3">
      <c r="B21" s="192"/>
      <c r="C21" s="193"/>
    </row>
    <row r="22" spans="2:3">
      <c r="B22" s="192" t="s">
        <v>104</v>
      </c>
      <c r="C22" s="193"/>
    </row>
    <row r="23" spans="2:3">
      <c r="B23" s="192"/>
      <c r="C23" s="193"/>
    </row>
    <row r="24" spans="2:3">
      <c r="B24" s="192"/>
      <c r="C24" s="193"/>
    </row>
    <row r="25" spans="2:3">
      <c r="B25" s="194" t="s">
        <v>105</v>
      </c>
      <c r="C25" s="195"/>
    </row>
  </sheetData>
  <mergeCells count="8">
    <mergeCell ref="B22:C24"/>
    <mergeCell ref="B25:C25"/>
    <mergeCell ref="E4:F4"/>
    <mergeCell ref="B17:C21"/>
    <mergeCell ref="E13:F14"/>
    <mergeCell ref="B1:C1"/>
    <mergeCell ref="B2:C2"/>
    <mergeCell ref="B4:C4"/>
  </mergeCells>
  <hyperlinks>
    <hyperlink ref="B14" location="'Water Quality Supplies'!A1" display="Water Quality Testing Equipment21 - See additional sheet" xr:uid="{1AB53EFD-92E7-4B56-A9D8-5BB37D970EB2}"/>
    <hyperlink ref="B12" location="'Tablet Supplies'!A1" display="Tablet Computers20 - see additional sheet" xr:uid="{472226B5-6B39-46E7-AF40-228C4206F8C6}"/>
    <hyperlink ref="E10" location="'Optional supplies'!A1" display="GIS units - See additional sheet" xr:uid="{BF7C0466-BE33-4376-A98E-6766A893216A}"/>
    <hyperlink ref="E8" location="'Optional supplies'!A1" display="Tablet Computers for listing - see additional sheet" xr:uid="{3E04C4F6-3BA3-4E7C-9065-422C3EBCED77}"/>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2CD22-A985-4939-9ACA-EB8D6FD74AAB}">
  <dimension ref="B1:C26"/>
  <sheetViews>
    <sheetView zoomScaleNormal="100" workbookViewId="0">
      <selection activeCell="B25" sqref="B25:C25"/>
    </sheetView>
  </sheetViews>
  <sheetFormatPr defaultColWidth="8.7109375" defaultRowHeight="12.75"/>
  <cols>
    <col min="1" max="1" width="2.140625" customWidth="1"/>
    <col min="2" max="2" width="54.5703125" customWidth="1"/>
    <col min="3" max="3" width="15.28515625" style="4" customWidth="1"/>
    <col min="4" max="4" width="8" customWidth="1"/>
  </cols>
  <sheetData>
    <row r="1" spans="2:3" ht="19.5" customHeight="1">
      <c r="B1" s="121" t="s">
        <v>106</v>
      </c>
      <c r="C1" s="121"/>
    </row>
    <row r="2" spans="2:3" ht="12.75" customHeight="1">
      <c r="B2" s="209" t="s">
        <v>94</v>
      </c>
      <c r="C2" s="209"/>
    </row>
    <row r="3" spans="2:3" ht="12.75" customHeight="1" thickBot="1">
      <c r="B3" s="124"/>
      <c r="C3" s="124"/>
    </row>
    <row r="4" spans="2:3" ht="12.75" customHeight="1" thickBot="1">
      <c r="B4" s="178" t="s">
        <v>3</v>
      </c>
      <c r="C4" s="179"/>
    </row>
    <row r="5" spans="2:3" ht="12.75" customHeight="1" thickBot="1"/>
    <row r="6" spans="2:3" ht="12.75" customHeight="1" thickBot="1">
      <c r="B6" s="3" t="s">
        <v>4</v>
      </c>
      <c r="C6" s="22" t="s">
        <v>5</v>
      </c>
    </row>
    <row r="7" spans="2:3" ht="12.75" customHeight="1">
      <c r="B7" s="1"/>
      <c r="C7" s="5"/>
    </row>
    <row r="8" spans="2:3" ht="12.75" customHeight="1">
      <c r="B8" s="10" t="s">
        <v>107</v>
      </c>
      <c r="C8" s="82">
        <f>Supplies!C12</f>
        <v>125</v>
      </c>
    </row>
    <row r="9" spans="2:3" ht="12.75" customHeight="1">
      <c r="B9" s="10"/>
      <c r="C9" s="81"/>
    </row>
    <row r="10" spans="2:3" ht="12.75" customHeight="1">
      <c r="B10" s="10" t="s">
        <v>108</v>
      </c>
      <c r="C10" s="82">
        <f>Supplies!C12</f>
        <v>125</v>
      </c>
    </row>
    <row r="11" spans="2:3" ht="12.75" customHeight="1">
      <c r="B11" s="10"/>
      <c r="C11" s="81"/>
    </row>
    <row r="12" spans="2:3" ht="12.75" customHeight="1">
      <c r="B12" s="10" t="s">
        <v>109</v>
      </c>
      <c r="C12" s="82">
        <f>Supplies!C12</f>
        <v>125</v>
      </c>
    </row>
    <row r="13" spans="2:3" ht="12.75" customHeight="1">
      <c r="B13" s="10"/>
      <c r="C13" s="81"/>
    </row>
    <row r="14" spans="2:3" ht="12.75" customHeight="1">
      <c r="B14" s="10" t="s">
        <v>110</v>
      </c>
      <c r="C14" s="82">
        <f>Supplies!C12</f>
        <v>125</v>
      </c>
    </row>
    <row r="15" spans="2:3" ht="12.75" customHeight="1">
      <c r="B15" s="10"/>
      <c r="C15" s="81"/>
    </row>
    <row r="16" spans="2:3" ht="12.75" customHeight="1">
      <c r="B16" s="10" t="s">
        <v>111</v>
      </c>
      <c r="C16" s="149">
        <f>2*'Fieldwork Duration'!C12</f>
        <v>40</v>
      </c>
    </row>
    <row r="17" spans="2:3" ht="12.75" customHeight="1">
      <c r="B17" s="10"/>
      <c r="C17" s="148"/>
    </row>
    <row r="18" spans="2:3" ht="12.75" customHeight="1">
      <c r="B18" s="10" t="s">
        <v>112</v>
      </c>
      <c r="C18" s="149">
        <f>Supplies!C12+(2*'Fieldwork Duration'!C12)</f>
        <v>165</v>
      </c>
    </row>
    <row r="19" spans="2:3" ht="12.75" customHeight="1">
      <c r="B19" s="10"/>
      <c r="C19" s="148"/>
    </row>
    <row r="20" spans="2:3" ht="12.75" customHeight="1">
      <c r="B20" s="10" t="s">
        <v>113</v>
      </c>
      <c r="C20" s="149">
        <f>'Fieldwork Duration'!C12</f>
        <v>20</v>
      </c>
    </row>
    <row r="21" spans="2:3" ht="12.75" customHeight="1" thickBot="1">
      <c r="B21" s="2"/>
      <c r="C21" s="8"/>
    </row>
    <row r="22" spans="2:3" ht="12.75" customHeight="1">
      <c r="C22" s="9"/>
    </row>
    <row r="23" spans="2:3" ht="12.75" customHeight="1">
      <c r="B23" s="210" t="s">
        <v>114</v>
      </c>
      <c r="C23" s="211"/>
    </row>
    <row r="24" spans="2:3" ht="12.75" customHeight="1">
      <c r="B24" s="212" t="s">
        <v>115</v>
      </c>
      <c r="C24" s="213"/>
    </row>
    <row r="25" spans="2:3" ht="12.75" customHeight="1">
      <c r="B25" s="214" t="s">
        <v>116</v>
      </c>
      <c r="C25" s="215"/>
    </row>
    <row r="26" spans="2:3" ht="12.75" customHeight="1"/>
  </sheetData>
  <mergeCells count="5">
    <mergeCell ref="B2:C2"/>
    <mergeCell ref="B4:C4"/>
    <mergeCell ref="B23:C23"/>
    <mergeCell ref="B24:C24"/>
    <mergeCell ref="B25:C25"/>
  </mergeCells>
  <pageMargins left="0.7" right="0.7" top="0.75" bottom="0.75" header="0.3" footer="0.3"/>
  <pageSetup paperSize="9" orientation="portrait" r:id="rId1"/>
  <ignoredErrors>
    <ignoredError sqref="C14 C12 C10 C8"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0F87F-65EF-4475-B6BF-B44F677371C5}">
  <dimension ref="B1:Y49"/>
  <sheetViews>
    <sheetView zoomScale="110" zoomScaleNormal="110" workbookViewId="0">
      <selection activeCell="E21" sqref="E21"/>
    </sheetView>
  </sheetViews>
  <sheetFormatPr defaultColWidth="8.7109375" defaultRowHeight="12.75"/>
  <cols>
    <col min="1" max="1" width="2.140625" customWidth="1"/>
    <col min="2" max="2" width="57.5703125" customWidth="1"/>
    <col min="3" max="3" width="16.5703125" customWidth="1"/>
    <col min="4" max="4" width="4.5703125" customWidth="1"/>
    <col min="5" max="5" width="63.7109375" customWidth="1"/>
    <col min="6" max="6" width="16.5703125" customWidth="1"/>
  </cols>
  <sheetData>
    <row r="1" spans="2:6" ht="19.5" customHeight="1">
      <c r="B1" s="121" t="s">
        <v>117</v>
      </c>
      <c r="C1" s="121"/>
    </row>
    <row r="2" spans="2:6" ht="12.75" customHeight="1">
      <c r="B2" s="209" t="s">
        <v>118</v>
      </c>
      <c r="C2" s="209"/>
      <c r="E2" s="152"/>
    </row>
    <row r="3" spans="2:6" ht="12.75" customHeight="1" thickBot="1"/>
    <row r="4" spans="2:6" ht="16.5" customHeight="1" thickBot="1">
      <c r="B4" s="178" t="s">
        <v>119</v>
      </c>
      <c r="C4" s="179"/>
      <c r="E4" s="220" t="s">
        <v>120</v>
      </c>
      <c r="F4" s="221"/>
    </row>
    <row r="5" spans="2:6" ht="12.75" customHeight="1" thickBot="1">
      <c r="C5" s="4"/>
      <c r="F5" s="4"/>
    </row>
    <row r="6" spans="2:6" ht="12.75" customHeight="1" thickBot="1">
      <c r="B6" s="150" t="s">
        <v>4</v>
      </c>
      <c r="C6" s="22" t="s">
        <v>5</v>
      </c>
      <c r="E6" s="150" t="s">
        <v>4</v>
      </c>
      <c r="F6" s="22" t="s">
        <v>5</v>
      </c>
    </row>
    <row r="7" spans="2:6" ht="12.75" customHeight="1">
      <c r="B7" s="1"/>
      <c r="C7" s="5"/>
      <c r="E7" s="1"/>
      <c r="F7" s="49"/>
    </row>
    <row r="8" spans="2:6" ht="12.75" customHeight="1">
      <c r="B8" s="10" t="s">
        <v>107</v>
      </c>
      <c r="C8" s="149">
        <f>ROUND(('Listing Staff'!F10)*1.1,0)</f>
        <v>17</v>
      </c>
      <c r="E8" s="170" t="s">
        <v>121</v>
      </c>
      <c r="F8" s="149">
        <f>'Listing Staff'!F11+2</f>
        <v>17</v>
      </c>
    </row>
    <row r="9" spans="2:6" ht="12.75" customHeight="1">
      <c r="B9" s="10"/>
      <c r="C9" s="148"/>
      <c r="E9" s="154" t="s">
        <v>122</v>
      </c>
      <c r="F9" s="148"/>
    </row>
    <row r="10" spans="2:6" ht="12.75" customHeight="1">
      <c r="B10" s="10" t="s">
        <v>108</v>
      </c>
      <c r="C10" s="149">
        <f>C8</f>
        <v>17</v>
      </c>
      <c r="E10" s="10"/>
      <c r="F10" s="148"/>
    </row>
    <row r="11" spans="2:6" ht="12.75" customHeight="1">
      <c r="B11" s="10"/>
      <c r="C11" s="148"/>
      <c r="E11" s="10" t="s">
        <v>123</v>
      </c>
      <c r="F11" s="149">
        <f>F8</f>
        <v>17</v>
      </c>
    </row>
    <row r="12" spans="2:6" ht="12.75" customHeight="1">
      <c r="B12" s="10" t="s">
        <v>109</v>
      </c>
      <c r="C12" s="149">
        <f>C8</f>
        <v>17</v>
      </c>
      <c r="E12" s="10"/>
      <c r="F12" s="148"/>
    </row>
    <row r="13" spans="2:6" ht="28.5" customHeight="1">
      <c r="B13" s="10"/>
      <c r="C13" s="148"/>
      <c r="E13" s="169" t="s">
        <v>124</v>
      </c>
      <c r="F13" s="149">
        <f>F8</f>
        <v>17</v>
      </c>
    </row>
    <row r="14" spans="2:6" ht="12.75" customHeight="1">
      <c r="B14" s="10" t="s">
        <v>110</v>
      </c>
      <c r="C14" s="149">
        <f>C8</f>
        <v>17</v>
      </c>
      <c r="E14" s="151"/>
      <c r="F14" s="148"/>
    </row>
    <row r="15" spans="2:6" ht="12.75" customHeight="1" thickBot="1">
      <c r="B15" s="10"/>
      <c r="C15" s="81"/>
      <c r="E15" s="155" t="s">
        <v>125</v>
      </c>
      <c r="F15" s="157">
        <f>F8</f>
        <v>17</v>
      </c>
    </row>
    <row r="16" spans="2:6" ht="12.75" customHeight="1">
      <c r="B16" s="10" t="s">
        <v>126</v>
      </c>
      <c r="C16" s="149">
        <f>('Listing Staff'!C10)</f>
        <v>15</v>
      </c>
      <c r="F16" s="9"/>
    </row>
    <row r="17" spans="2:25" ht="12.75" customHeight="1">
      <c r="B17" s="10"/>
      <c r="C17" s="148"/>
      <c r="E17" s="216" t="s">
        <v>127</v>
      </c>
      <c r="F17" s="217"/>
    </row>
    <row r="18" spans="2:25" ht="12.75" customHeight="1">
      <c r="B18" s="10" t="s">
        <v>128</v>
      </c>
      <c r="C18" s="149">
        <f>('Listing Staff'!F10)+(2*'Listing Staff'!C10)</f>
        <v>45</v>
      </c>
      <c r="E18" s="218"/>
      <c r="F18" s="219"/>
    </row>
    <row r="19" spans="2:25" ht="12.75" customHeight="1">
      <c r="B19" s="10"/>
      <c r="C19" s="148"/>
      <c r="E19" s="218"/>
      <c r="F19" s="219"/>
    </row>
    <row r="20" spans="2:25" ht="12.75" customHeight="1">
      <c r="B20" s="10" t="s">
        <v>129</v>
      </c>
      <c r="C20" s="149">
        <f>'Listing Staff'!C10</f>
        <v>15</v>
      </c>
      <c r="E20" s="222" t="s">
        <v>130</v>
      </c>
      <c r="F20" s="223"/>
    </row>
    <row r="21" spans="2:25" ht="12.75" customHeight="1" thickBot="1">
      <c r="B21" s="2"/>
      <c r="C21" s="8"/>
    </row>
    <row r="22" spans="2:25" ht="12.75" customHeight="1">
      <c r="C22" s="9"/>
      <c r="E22" s="54"/>
    </row>
    <row r="23" spans="2:25" ht="12.75" customHeight="1">
      <c r="B23" s="196" t="s">
        <v>131</v>
      </c>
      <c r="C23" s="197"/>
    </row>
    <row r="24" spans="2:25" ht="12.75" customHeight="1">
      <c r="B24" s="192"/>
      <c r="C24" s="193"/>
    </row>
    <row r="25" spans="2:25" ht="20.100000000000001" customHeight="1">
      <c r="B25" s="192"/>
      <c r="C25" s="193"/>
    </row>
    <row r="26" spans="2:25" ht="12.75" customHeight="1">
      <c r="B26" s="212" t="s">
        <v>132</v>
      </c>
      <c r="C26" s="213"/>
    </row>
    <row r="27" spans="2:25" ht="12.75" customHeight="1">
      <c r="B27" s="212" t="s">
        <v>133</v>
      </c>
      <c r="C27" s="213"/>
    </row>
    <row r="28" spans="2:25">
      <c r="B28" s="214" t="s">
        <v>134</v>
      </c>
      <c r="C28" s="215"/>
      <c r="D28" s="136"/>
    </row>
    <row r="29" spans="2:25" s="4" customFormat="1">
      <c r="B29"/>
      <c r="C29"/>
      <c r="D29" s="136"/>
      <c r="E29"/>
      <c r="F29"/>
      <c r="G29"/>
      <c r="H29"/>
      <c r="I29"/>
      <c r="J29"/>
      <c r="K29"/>
      <c r="L29"/>
      <c r="M29"/>
      <c r="N29"/>
      <c r="O29"/>
      <c r="P29"/>
      <c r="Q29"/>
      <c r="R29"/>
      <c r="S29"/>
      <c r="T29"/>
      <c r="U29"/>
      <c r="V29"/>
      <c r="W29"/>
      <c r="X29"/>
      <c r="Y29"/>
    </row>
    <row r="49" ht="12.75" customHeight="1"/>
  </sheetData>
  <mergeCells count="9">
    <mergeCell ref="B27:C27"/>
    <mergeCell ref="B28:C28"/>
    <mergeCell ref="E17:F19"/>
    <mergeCell ref="B2:C2"/>
    <mergeCell ref="B4:C4"/>
    <mergeCell ref="B23:C25"/>
    <mergeCell ref="E4:F4"/>
    <mergeCell ref="B26:C26"/>
    <mergeCell ref="E20:F2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M58"/>
  <sheetViews>
    <sheetView tabSelected="1" zoomScaleNormal="100" workbookViewId="0">
      <selection activeCell="E66" sqref="E66"/>
    </sheetView>
  </sheetViews>
  <sheetFormatPr defaultColWidth="8.7109375" defaultRowHeight="12.75"/>
  <cols>
    <col min="1" max="1" width="2.140625" customWidth="1"/>
    <col min="2" max="2" width="58.7109375" customWidth="1"/>
    <col min="3" max="3" width="15.42578125" customWidth="1"/>
    <col min="4" max="4" width="2.140625" customWidth="1"/>
    <col min="5" max="5" width="61.140625" customWidth="1"/>
    <col min="6" max="7" width="13.7109375" style="4" customWidth="1"/>
    <col min="8" max="8" width="13.7109375" customWidth="1"/>
    <col min="9" max="9" width="13.140625" customWidth="1"/>
    <col min="10" max="10" width="13.7109375" style="4" customWidth="1"/>
    <col min="11" max="12" width="13.140625" customWidth="1"/>
    <col min="13" max="13" width="10.140625" bestFit="1" customWidth="1"/>
  </cols>
  <sheetData>
    <row r="1" spans="2:12" ht="19.5" customHeight="1">
      <c r="B1" s="174" t="s">
        <v>135</v>
      </c>
      <c r="C1" s="174"/>
    </row>
    <row r="2" spans="2:12" ht="12.75" customHeight="1">
      <c r="B2" s="106" t="s">
        <v>136</v>
      </c>
      <c r="C2" s="106"/>
      <c r="D2" s="106"/>
      <c r="E2" s="106"/>
      <c r="F2" s="106"/>
      <c r="G2" s="106"/>
      <c r="J2" s="106"/>
    </row>
    <row r="3" spans="2:12" ht="12.75" customHeight="1" thickBot="1">
      <c r="E3" s="124"/>
      <c r="F3" s="124"/>
    </row>
    <row r="4" spans="2:12" ht="13.5" thickBot="1">
      <c r="B4" s="198" t="s">
        <v>29</v>
      </c>
      <c r="C4" s="199"/>
      <c r="E4" s="178" t="s">
        <v>3</v>
      </c>
      <c r="F4" s="224"/>
      <c r="G4" s="224"/>
      <c r="H4" s="224"/>
      <c r="I4" s="224"/>
      <c r="J4" s="224"/>
      <c r="K4" s="224"/>
      <c r="L4" s="225"/>
    </row>
    <row r="5" spans="2:12" ht="13.5" thickBot="1">
      <c r="C5" s="4"/>
    </row>
    <row r="6" spans="2:12" ht="15" thickBot="1">
      <c r="B6" s="3" t="s">
        <v>4</v>
      </c>
      <c r="C6" s="38" t="s">
        <v>5</v>
      </c>
      <c r="E6" s="75" t="s">
        <v>4</v>
      </c>
      <c r="F6" s="22" t="s">
        <v>137</v>
      </c>
      <c r="G6" s="38" t="s">
        <v>138</v>
      </c>
      <c r="H6" s="100" t="s">
        <v>139</v>
      </c>
      <c r="I6" s="231" t="s">
        <v>140</v>
      </c>
      <c r="J6" s="232"/>
      <c r="K6" s="38" t="s">
        <v>141</v>
      </c>
      <c r="L6" s="100" t="s">
        <v>142</v>
      </c>
    </row>
    <row r="7" spans="2:12">
      <c r="B7" s="48"/>
      <c r="C7" s="86"/>
      <c r="E7" s="48"/>
      <c r="F7" s="89"/>
      <c r="G7" s="108"/>
      <c r="H7" s="113"/>
      <c r="I7" s="108"/>
      <c r="J7" s="108"/>
      <c r="K7" s="89"/>
      <c r="L7" s="113"/>
    </row>
    <row r="8" spans="2:12">
      <c r="B8" s="53" t="s">
        <v>32</v>
      </c>
      <c r="C8" s="63">
        <f>'Fieldwork Duration'!C8/'Fieldwork Duration'!C16</f>
        <v>600</v>
      </c>
      <c r="E8" s="19" t="s">
        <v>143</v>
      </c>
      <c r="F8" s="78"/>
      <c r="G8" s="109"/>
      <c r="H8" s="83"/>
      <c r="I8" s="109"/>
      <c r="J8" s="109"/>
      <c r="K8" s="83"/>
      <c r="L8" s="83"/>
    </row>
    <row r="9" spans="2:12">
      <c r="B9" s="58"/>
      <c r="C9" s="87"/>
      <c r="E9" s="118" t="s">
        <v>144</v>
      </c>
      <c r="F9" s="78"/>
      <c r="G9" s="109"/>
      <c r="H9" s="83"/>
      <c r="I9" s="109"/>
      <c r="J9" s="109"/>
      <c r="K9" s="83"/>
      <c r="L9" s="83"/>
    </row>
    <row r="10" spans="2:12">
      <c r="B10" s="53" t="s">
        <v>145</v>
      </c>
      <c r="C10" s="63">
        <f>'Fieldwork Duration'!C12</f>
        <v>20</v>
      </c>
      <c r="E10" s="119" t="s">
        <v>146</v>
      </c>
      <c r="F10" s="55">
        <f>ROUNDUP($C$10*(1+$C$27),0)</f>
        <v>22</v>
      </c>
      <c r="G10" s="110">
        <f>F10/$C$10</f>
        <v>1.1000000000000001</v>
      </c>
      <c r="H10" s="163">
        <v>1120</v>
      </c>
      <c r="I10" s="110">
        <v>1</v>
      </c>
      <c r="J10" s="110" t="s">
        <v>147</v>
      </c>
      <c r="K10" s="115">
        <f>ROUNDUP(F10/I10,0)</f>
        <v>22</v>
      </c>
      <c r="L10" s="115">
        <f>H10*K10</f>
        <v>24640</v>
      </c>
    </row>
    <row r="11" spans="2:12" ht="13.5" thickBot="1">
      <c r="B11" s="79"/>
      <c r="C11" s="88"/>
      <c r="E11" s="119" t="s">
        <v>148</v>
      </c>
      <c r="F11" s="55">
        <f>ROUNDUP($C$10*(1+$C$27),0)</f>
        <v>22</v>
      </c>
      <c r="G11" s="110">
        <f t="shared" ref="G11:G13" si="0">F11/$C$10</f>
        <v>1.1000000000000001</v>
      </c>
      <c r="H11" s="163">
        <v>4.2</v>
      </c>
      <c r="I11" s="110">
        <v>1</v>
      </c>
      <c r="J11" s="110" t="s">
        <v>147</v>
      </c>
      <c r="K11" s="115">
        <f>ROUNDUP(F11/I11,0)</f>
        <v>22</v>
      </c>
      <c r="L11" s="115">
        <f t="shared" ref="L11:L13" si="1">H11*K11</f>
        <v>92.4</v>
      </c>
    </row>
    <row r="12" spans="2:12" ht="13.9" customHeight="1" thickBot="1">
      <c r="B12" s="65"/>
      <c r="C12" s="57"/>
      <c r="E12" s="120" t="s">
        <v>149</v>
      </c>
      <c r="F12" s="55">
        <f>ROUNDUP($C$10*(1+$C$27),0)</f>
        <v>22</v>
      </c>
      <c r="G12" s="110">
        <f>F12/$C$10</f>
        <v>1.1000000000000001</v>
      </c>
      <c r="H12" s="163">
        <v>37.79</v>
      </c>
      <c r="I12" s="110">
        <v>50</v>
      </c>
      <c r="J12" s="110" t="s">
        <v>150</v>
      </c>
      <c r="K12" s="115">
        <f>ROUNDUP(F12/I12,0)</f>
        <v>1</v>
      </c>
      <c r="L12" s="115">
        <f t="shared" si="1"/>
        <v>37.79</v>
      </c>
    </row>
    <row r="13" spans="2:12" ht="15.75" thickBot="1">
      <c r="B13" s="176" t="s">
        <v>2</v>
      </c>
      <c r="C13" s="177"/>
      <c r="E13" s="120" t="s">
        <v>151</v>
      </c>
      <c r="F13" s="55">
        <f>ROUNDUP($C$10*(1+$C$27),0)</f>
        <v>22</v>
      </c>
      <c r="G13" s="110">
        <f t="shared" si="0"/>
        <v>1.1000000000000001</v>
      </c>
      <c r="H13" s="163">
        <v>24.43</v>
      </c>
      <c r="I13" s="110">
        <v>1</v>
      </c>
      <c r="J13" s="110" t="s">
        <v>147</v>
      </c>
      <c r="K13" s="115">
        <f>ROUNDUP(F13/I13,0)</f>
        <v>22</v>
      </c>
      <c r="L13" s="115">
        <f t="shared" si="1"/>
        <v>537.46</v>
      </c>
    </row>
    <row r="14" spans="2:12" ht="13.9" customHeight="1" thickBot="1">
      <c r="C14" s="4"/>
      <c r="E14" s="93" t="s">
        <v>152</v>
      </c>
      <c r="F14" s="107"/>
      <c r="G14" s="111"/>
      <c r="H14" s="164"/>
      <c r="I14" s="111"/>
      <c r="J14" s="111"/>
      <c r="K14" s="107"/>
      <c r="L14" s="107">
        <f>SUM(L10:L13)</f>
        <v>25307.65</v>
      </c>
    </row>
    <row r="15" spans="2:12" ht="13.5" thickBot="1">
      <c r="B15" s="37" t="s">
        <v>4</v>
      </c>
      <c r="C15" s="22" t="s">
        <v>5</v>
      </c>
      <c r="E15" s="1"/>
      <c r="F15" s="5"/>
      <c r="H15" s="165"/>
      <c r="K15" s="1"/>
      <c r="L15" s="1"/>
    </row>
    <row r="16" spans="2:12">
      <c r="B16" s="33"/>
      <c r="C16" s="89"/>
      <c r="E16" s="19" t="s">
        <v>153</v>
      </c>
      <c r="F16" s="84"/>
      <c r="G16" s="109"/>
      <c r="H16" s="166"/>
      <c r="I16" s="109"/>
      <c r="J16" s="109"/>
      <c r="K16" s="83"/>
      <c r="L16" s="83"/>
    </row>
    <row r="17" spans="2:13" ht="12.75" customHeight="1">
      <c r="B17" s="36" t="s">
        <v>154</v>
      </c>
      <c r="C17" s="90">
        <v>5</v>
      </c>
      <c r="E17" s="118" t="s">
        <v>155</v>
      </c>
      <c r="F17" s="83"/>
      <c r="G17" s="109"/>
      <c r="H17" s="166"/>
      <c r="I17" s="109"/>
      <c r="J17" s="109"/>
      <c r="K17" s="83"/>
      <c r="L17" s="83"/>
    </row>
    <row r="18" spans="2:13" ht="12.75" customHeight="1">
      <c r="B18" s="36"/>
      <c r="C18" s="78"/>
      <c r="E18" s="130" t="s">
        <v>156</v>
      </c>
      <c r="F18" s="55">
        <f>ROUNDUP(SUM(C17:C21)*C8*(1+C29),0)</f>
        <v>8250</v>
      </c>
      <c r="G18" s="110">
        <f>F18/$C$10</f>
        <v>412.5</v>
      </c>
      <c r="H18" s="163">
        <v>195.1</v>
      </c>
      <c r="I18" s="110">
        <v>150</v>
      </c>
      <c r="J18" s="110" t="s">
        <v>150</v>
      </c>
      <c r="K18" s="115">
        <f t="shared" ref="K18:K23" si="2">ROUNDUP(F18/I18,0)</f>
        <v>55</v>
      </c>
      <c r="L18" s="115">
        <f>H18*K18</f>
        <v>10730.5</v>
      </c>
      <c r="M18" s="136"/>
    </row>
    <row r="19" spans="2:13" ht="12.75" customHeight="1">
      <c r="B19" s="36" t="s">
        <v>157</v>
      </c>
      <c r="C19" s="90">
        <v>5</v>
      </c>
      <c r="E19" s="130" t="s">
        <v>158</v>
      </c>
      <c r="F19" s="27">
        <f>ROUNDUP(SUM(C17:C21)*C8*(1+C29),0)</f>
        <v>8250</v>
      </c>
      <c r="G19" s="110">
        <f>F19/$C$10</f>
        <v>412.5</v>
      </c>
      <c r="H19" s="163">
        <v>1562.5</v>
      </c>
      <c r="I19" s="110">
        <v>1404</v>
      </c>
      <c r="J19" s="110" t="s">
        <v>150</v>
      </c>
      <c r="K19" s="115">
        <f t="shared" si="2"/>
        <v>6</v>
      </c>
      <c r="L19" s="115">
        <f t="shared" ref="L19:L23" si="3">H19*K19</f>
        <v>9375</v>
      </c>
    </row>
    <row r="20" spans="2:13" ht="12.75" customHeight="1">
      <c r="B20" s="33"/>
      <c r="C20" s="83"/>
      <c r="E20" s="130" t="s">
        <v>159</v>
      </c>
      <c r="F20" s="143">
        <f>ROUNDUP(SUM(C17:C21)*C8*(1+C29),0)</f>
        <v>8250</v>
      </c>
      <c r="G20" s="110">
        <f t="shared" ref="G20:G23" si="4">F20/$C$10</f>
        <v>412.5</v>
      </c>
      <c r="H20" s="163">
        <v>6.81</v>
      </c>
      <c r="I20" s="110">
        <v>100</v>
      </c>
      <c r="J20" s="110" t="s">
        <v>150</v>
      </c>
      <c r="K20" s="115">
        <f t="shared" si="2"/>
        <v>83</v>
      </c>
      <c r="L20" s="115">
        <f t="shared" si="3"/>
        <v>565.23</v>
      </c>
    </row>
    <row r="21" spans="2:13" ht="12.75" customHeight="1">
      <c r="B21" s="80" t="s">
        <v>160</v>
      </c>
      <c r="C21" s="90">
        <v>1</v>
      </c>
      <c r="E21" s="130" t="s">
        <v>161</v>
      </c>
      <c r="F21" s="143">
        <f>ROUNDUP(SUM(C17:C21)*C8*(1+C29),0)</f>
        <v>8250</v>
      </c>
      <c r="G21" s="110">
        <f t="shared" si="4"/>
        <v>412.5</v>
      </c>
      <c r="H21" s="163">
        <v>8.09</v>
      </c>
      <c r="I21" s="110">
        <v>100</v>
      </c>
      <c r="J21" s="110" t="s">
        <v>150</v>
      </c>
      <c r="K21" s="115">
        <f t="shared" si="2"/>
        <v>83</v>
      </c>
      <c r="L21" s="115">
        <f t="shared" si="3"/>
        <v>671.47</v>
      </c>
      <c r="M21" s="136"/>
    </row>
    <row r="22" spans="2:13" ht="12.75" customHeight="1" thickBot="1">
      <c r="B22" s="35"/>
      <c r="C22" s="91"/>
      <c r="E22" s="130" t="s">
        <v>162</v>
      </c>
      <c r="F22" s="143">
        <f>ROUNDUP(SUM(C17:C19)*C8*(1+C29),0)</f>
        <v>7500</v>
      </c>
      <c r="G22" s="110">
        <f t="shared" si="4"/>
        <v>375</v>
      </c>
      <c r="H22" s="163">
        <v>80.849999999999994</v>
      </c>
      <c r="I22" s="110">
        <v>500</v>
      </c>
      <c r="J22" s="110" t="s">
        <v>150</v>
      </c>
      <c r="K22" s="115">
        <f t="shared" si="2"/>
        <v>15</v>
      </c>
      <c r="L22" s="115">
        <f t="shared" si="3"/>
        <v>1212.75</v>
      </c>
    </row>
    <row r="23" spans="2:13" ht="12.75" customHeight="1">
      <c r="E23" s="130" t="s">
        <v>163</v>
      </c>
      <c r="F23" s="143">
        <f>ROUNDUP(SUM(C17:C21)*C8*(1+C29),0)</f>
        <v>8250</v>
      </c>
      <c r="G23" s="110">
        <f t="shared" si="4"/>
        <v>412.5</v>
      </c>
      <c r="H23" s="163">
        <v>0.88</v>
      </c>
      <c r="I23" s="110">
        <v>100</v>
      </c>
      <c r="J23" s="110" t="s">
        <v>150</v>
      </c>
      <c r="K23" s="115">
        <f t="shared" si="2"/>
        <v>83</v>
      </c>
      <c r="L23" s="115">
        <f t="shared" si="3"/>
        <v>73.040000000000006</v>
      </c>
    </row>
    <row r="24" spans="2:13" ht="12.75" customHeight="1" thickBot="1">
      <c r="E24" s="93" t="s">
        <v>164</v>
      </c>
      <c r="F24" s="107"/>
      <c r="G24" s="111"/>
      <c r="H24" s="107"/>
      <c r="I24" s="111"/>
      <c r="J24" s="111"/>
      <c r="K24" s="107"/>
      <c r="L24" s="107">
        <f>SUM(L18:L23)</f>
        <v>22627.99</v>
      </c>
    </row>
    <row r="25" spans="2:13" ht="12.75" customHeight="1" thickBot="1">
      <c r="B25" s="37" t="s">
        <v>4</v>
      </c>
      <c r="C25" s="22" t="s">
        <v>5</v>
      </c>
      <c r="E25" s="1"/>
      <c r="F25" s="5"/>
      <c r="H25" s="1"/>
      <c r="K25" s="1"/>
      <c r="L25" s="1"/>
      <c r="M25" s="136"/>
    </row>
    <row r="26" spans="2:13" ht="12.75" customHeight="1">
      <c r="B26" s="33"/>
      <c r="C26" s="89"/>
      <c r="E26" s="19" t="s">
        <v>165</v>
      </c>
      <c r="F26" s="83"/>
      <c r="G26" s="109"/>
      <c r="H26" s="83"/>
      <c r="I26" s="109"/>
      <c r="J26" s="109"/>
      <c r="K26" s="83"/>
      <c r="L26" s="83">
        <f>(L14+L24)*0.1</f>
        <v>4793.5640000000003</v>
      </c>
    </row>
    <row r="27" spans="2:13" ht="12.75" customHeight="1">
      <c r="B27" s="36" t="s">
        <v>166</v>
      </c>
      <c r="C27" s="167">
        <v>0.1</v>
      </c>
      <c r="E27" s="1"/>
      <c r="F27" s="83"/>
      <c r="G27" s="109"/>
      <c r="H27" s="83"/>
      <c r="I27" s="109"/>
      <c r="J27" s="109"/>
      <c r="K27" s="83"/>
      <c r="L27" s="83"/>
      <c r="M27" s="54"/>
    </row>
    <row r="28" spans="2:13" ht="12.75" customHeight="1" thickBot="1">
      <c r="B28" s="36"/>
      <c r="C28" s="125"/>
      <c r="E28" s="2"/>
      <c r="F28" s="85"/>
      <c r="G28" s="112"/>
      <c r="H28" s="85"/>
      <c r="I28" s="112"/>
      <c r="J28" s="112"/>
      <c r="K28" s="85"/>
      <c r="L28" s="85"/>
    </row>
    <row r="29" spans="2:13" ht="12.75" customHeight="1">
      <c r="B29" s="36" t="s">
        <v>167</v>
      </c>
      <c r="C29" s="167">
        <v>0.25</v>
      </c>
      <c r="K29" s="75"/>
      <c r="L29" s="95"/>
    </row>
    <row r="30" spans="2:13" ht="12.75" customHeight="1" thickBot="1">
      <c r="B30" s="173" t="s">
        <v>168</v>
      </c>
      <c r="C30" s="126"/>
      <c r="E30" s="196" t="s">
        <v>169</v>
      </c>
      <c r="F30" s="208"/>
      <c r="G30" s="208"/>
      <c r="H30" s="197"/>
      <c r="J30"/>
      <c r="K30" s="98" t="s">
        <v>170</v>
      </c>
      <c r="L30" s="99">
        <f>L14+L24+L26</f>
        <v>52729.203999999998</v>
      </c>
      <c r="M30" s="54"/>
    </row>
    <row r="31" spans="2:13" ht="12.75" customHeight="1">
      <c r="B31" s="168"/>
      <c r="C31" s="126"/>
      <c r="E31" s="192"/>
      <c r="F31" s="229"/>
      <c r="G31" s="229"/>
      <c r="H31" s="193"/>
      <c r="J31"/>
      <c r="K31" s="96"/>
      <c r="L31" s="97"/>
    </row>
    <row r="32" spans="2:13" ht="12.75" customHeight="1">
      <c r="B32" s="36" t="s">
        <v>171</v>
      </c>
      <c r="C32" s="167">
        <v>0.1</v>
      </c>
      <c r="E32" s="194"/>
      <c r="F32" s="230"/>
      <c r="G32" s="230"/>
      <c r="H32" s="195"/>
      <c r="J32"/>
      <c r="K32" s="116"/>
      <c r="L32" s="117"/>
    </row>
    <row r="33" spans="2:12" ht="12.75" customHeight="1" thickBot="1">
      <c r="B33" s="35"/>
      <c r="C33" s="91"/>
    </row>
    <row r="34" spans="2:12" ht="12.75" customHeight="1" thickBot="1"/>
    <row r="35" spans="2:12" ht="13.5" thickBot="1">
      <c r="E35" s="178" t="s">
        <v>172</v>
      </c>
      <c r="F35" s="224"/>
      <c r="G35" s="224"/>
      <c r="H35" s="224"/>
      <c r="I35" s="224"/>
      <c r="J35" s="224"/>
      <c r="K35" s="224"/>
      <c r="L35" s="225"/>
    </row>
    <row r="36" spans="2:12" ht="13.5" thickBot="1"/>
    <row r="37" spans="2:12" ht="15" thickBot="1">
      <c r="E37" s="158" t="s">
        <v>4</v>
      </c>
      <c r="F37" s="22" t="s">
        <v>137</v>
      </c>
      <c r="G37" s="38" t="s">
        <v>138</v>
      </c>
      <c r="H37" s="100" t="s">
        <v>173</v>
      </c>
      <c r="I37" s="231" t="s">
        <v>140</v>
      </c>
      <c r="J37" s="232"/>
      <c r="K37" s="38" t="s">
        <v>141</v>
      </c>
      <c r="L37" s="100" t="s">
        <v>142</v>
      </c>
    </row>
    <row r="38" spans="2:12">
      <c r="E38" s="159"/>
      <c r="F38" s="89"/>
      <c r="G38" s="108"/>
      <c r="H38" s="113"/>
      <c r="I38" s="108"/>
      <c r="J38" s="108"/>
      <c r="K38" s="89"/>
      <c r="L38" s="113"/>
    </row>
    <row r="39" spans="2:12">
      <c r="E39" s="19" t="s">
        <v>174</v>
      </c>
      <c r="F39" s="84"/>
      <c r="G39" s="109"/>
      <c r="H39" s="114"/>
      <c r="I39" s="109"/>
      <c r="J39" s="109"/>
      <c r="K39" s="83"/>
      <c r="L39" s="83"/>
    </row>
    <row r="40" spans="2:12">
      <c r="E40" s="118" t="s">
        <v>175</v>
      </c>
      <c r="F40" s="83"/>
      <c r="G40" s="109"/>
      <c r="H40" s="114"/>
      <c r="I40" s="109"/>
      <c r="J40" s="109"/>
      <c r="K40" s="83"/>
      <c r="L40" s="83"/>
    </row>
    <row r="41" spans="2:12" ht="15">
      <c r="E41" s="160" t="s">
        <v>176</v>
      </c>
      <c r="F41" s="55">
        <f>ROUNDUP(5*C10*(1+C32),0)</f>
        <v>110</v>
      </c>
      <c r="G41" s="110">
        <f>F41/$C$10</f>
        <v>5.5</v>
      </c>
      <c r="H41" s="133">
        <v>3.18</v>
      </c>
      <c r="I41" s="110">
        <v>1</v>
      </c>
      <c r="J41" s="110" t="s">
        <v>177</v>
      </c>
      <c r="K41" s="115">
        <f t="shared" ref="K41:K48" si="5">ROUNDUP(F41/I41,0)</f>
        <v>110</v>
      </c>
      <c r="L41" s="115">
        <f>H41*K41</f>
        <v>349.8</v>
      </c>
    </row>
    <row r="42" spans="2:12" ht="15">
      <c r="E42" s="160" t="s">
        <v>178</v>
      </c>
      <c r="F42" s="27">
        <f>ROUNDUP(C8*(1+C29),0)</f>
        <v>750</v>
      </c>
      <c r="G42" s="110">
        <f t="shared" ref="G42:G48" si="6">F42/$C$10</f>
        <v>37.5</v>
      </c>
      <c r="H42" s="133">
        <v>2.16</v>
      </c>
      <c r="I42" s="110">
        <v>30</v>
      </c>
      <c r="J42" s="110" t="s">
        <v>179</v>
      </c>
      <c r="K42" s="115">
        <f t="shared" si="5"/>
        <v>25</v>
      </c>
      <c r="L42" s="115">
        <f>H42*K42</f>
        <v>54</v>
      </c>
    </row>
    <row r="43" spans="2:12" ht="15">
      <c r="E43" s="160" t="s">
        <v>180</v>
      </c>
      <c r="F43" s="143">
        <f>ROUNDUP(C10*3*(1+C32),0)</f>
        <v>66</v>
      </c>
      <c r="G43" s="110">
        <f t="shared" si="6"/>
        <v>3.3</v>
      </c>
      <c r="H43" s="133">
        <v>28.57</v>
      </c>
      <c r="I43" s="110">
        <v>10</v>
      </c>
      <c r="J43" s="110" t="s">
        <v>181</v>
      </c>
      <c r="K43" s="115">
        <f t="shared" si="5"/>
        <v>7</v>
      </c>
      <c r="L43" s="115">
        <f t="shared" ref="L43:L46" si="7">H43*K43</f>
        <v>199.99</v>
      </c>
    </row>
    <row r="44" spans="2:12" ht="15">
      <c r="E44" s="160" t="s">
        <v>182</v>
      </c>
      <c r="F44" s="143">
        <f>ROUNDUP(C10*(1+C32),0)</f>
        <v>22</v>
      </c>
      <c r="G44" s="110">
        <f t="shared" si="6"/>
        <v>1.1000000000000001</v>
      </c>
      <c r="H44" s="133">
        <v>2.96</v>
      </c>
      <c r="I44" s="110">
        <v>1</v>
      </c>
      <c r="J44" s="110" t="s">
        <v>183</v>
      </c>
      <c r="K44" s="115">
        <f t="shared" si="5"/>
        <v>22</v>
      </c>
      <c r="L44" s="115">
        <f t="shared" si="7"/>
        <v>65.12</v>
      </c>
    </row>
    <row r="45" spans="2:12" ht="15">
      <c r="E45" s="160" t="s">
        <v>184</v>
      </c>
      <c r="F45" s="143">
        <f>ROUNDUP(C10*12*(1+C32),0)</f>
        <v>264</v>
      </c>
      <c r="G45" s="110">
        <f t="shared" si="6"/>
        <v>13.2</v>
      </c>
      <c r="H45" s="133">
        <v>7.27</v>
      </c>
      <c r="I45" s="110">
        <v>1</v>
      </c>
      <c r="J45" s="110" t="s">
        <v>185</v>
      </c>
      <c r="K45" s="115">
        <f t="shared" si="5"/>
        <v>264</v>
      </c>
      <c r="L45" s="115">
        <f t="shared" si="7"/>
        <v>1919.28</v>
      </c>
    </row>
    <row r="46" spans="2:12" ht="15">
      <c r="E46" s="160" t="s">
        <v>186</v>
      </c>
      <c r="F46" s="143">
        <f>ROUNDUP(C8*(1+C32),0)</f>
        <v>660</v>
      </c>
      <c r="G46" s="110">
        <f t="shared" si="6"/>
        <v>33</v>
      </c>
      <c r="H46" s="133">
        <v>3</v>
      </c>
      <c r="I46" s="110">
        <v>1</v>
      </c>
      <c r="J46" s="110" t="s">
        <v>177</v>
      </c>
      <c r="K46" s="115">
        <f t="shared" si="5"/>
        <v>660</v>
      </c>
      <c r="L46" s="115">
        <f t="shared" si="7"/>
        <v>1980</v>
      </c>
    </row>
    <row r="47" spans="2:12" ht="15">
      <c r="E47" s="160" t="s">
        <v>187</v>
      </c>
      <c r="F47" s="143">
        <f>ROUNDUP(C10*2*(1+C32),0)</f>
        <v>44</v>
      </c>
      <c r="G47" s="110">
        <f t="shared" si="6"/>
        <v>2.2000000000000002</v>
      </c>
      <c r="H47" s="133">
        <v>2.66</v>
      </c>
      <c r="I47" s="110">
        <v>1</v>
      </c>
      <c r="J47" s="110" t="s">
        <v>183</v>
      </c>
      <c r="K47" s="115">
        <f t="shared" si="5"/>
        <v>44</v>
      </c>
      <c r="L47" s="115">
        <f>H47*K47</f>
        <v>117.04</v>
      </c>
    </row>
    <row r="48" spans="2:12" ht="15">
      <c r="E48" s="160" t="s">
        <v>188</v>
      </c>
      <c r="F48" s="143">
        <f>ROUNDUP(C10*5*(1+C32),0)</f>
        <v>110</v>
      </c>
      <c r="G48" s="110">
        <f t="shared" si="6"/>
        <v>5.5</v>
      </c>
      <c r="H48" s="133">
        <v>9.1999999999999993</v>
      </c>
      <c r="I48" s="110">
        <v>10</v>
      </c>
      <c r="J48" s="110" t="s">
        <v>181</v>
      </c>
      <c r="K48" s="115">
        <f t="shared" si="5"/>
        <v>11</v>
      </c>
      <c r="L48" s="115">
        <f t="shared" ref="L48" si="8">H48*K48</f>
        <v>101.19999999999999</v>
      </c>
    </row>
    <row r="49" spans="5:12">
      <c r="E49" s="93" t="s">
        <v>189</v>
      </c>
      <c r="F49" s="83"/>
      <c r="G49" s="109"/>
      <c r="H49" s="83"/>
      <c r="I49" s="109"/>
      <c r="J49" s="109"/>
      <c r="K49" s="83"/>
      <c r="L49" s="127">
        <f>SUM(L41:L48)</f>
        <v>4786.43</v>
      </c>
    </row>
    <row r="50" spans="5:12">
      <c r="E50" s="19"/>
      <c r="F50" s="83"/>
      <c r="G50" s="109"/>
      <c r="H50" s="83"/>
      <c r="I50" s="109"/>
      <c r="J50" s="109"/>
      <c r="K50" s="83"/>
      <c r="L50" s="83"/>
    </row>
    <row r="51" spans="5:12">
      <c r="E51" s="161" t="s">
        <v>190</v>
      </c>
      <c r="F51" s="128"/>
      <c r="G51" s="129"/>
      <c r="H51" s="128"/>
      <c r="I51" s="129"/>
      <c r="J51" s="129"/>
      <c r="K51" s="128"/>
      <c r="L51" s="128">
        <f>L49*0.1</f>
        <v>478.64300000000003</v>
      </c>
    </row>
    <row r="52" spans="5:12" ht="13.5" thickBot="1">
      <c r="E52" s="162"/>
      <c r="F52" s="85"/>
      <c r="G52" s="112"/>
      <c r="H52" s="85"/>
      <c r="I52" s="112"/>
      <c r="J52" s="112"/>
      <c r="K52" s="85"/>
      <c r="L52" s="85"/>
    </row>
    <row r="53" spans="5:12">
      <c r="K53" s="75"/>
      <c r="L53" s="95"/>
    </row>
    <row r="54" spans="5:12" ht="13.5" thickBot="1">
      <c r="E54" s="196" t="s">
        <v>191</v>
      </c>
      <c r="F54" s="208"/>
      <c r="G54" s="208"/>
      <c r="H54" s="197"/>
      <c r="K54" s="98" t="s">
        <v>170</v>
      </c>
      <c r="L54" s="99">
        <f>SUM(L49+L51)</f>
        <v>5265.0730000000003</v>
      </c>
    </row>
    <row r="55" spans="5:12">
      <c r="E55" s="192"/>
      <c r="F55" s="229"/>
      <c r="G55" s="229"/>
      <c r="H55" s="193"/>
      <c r="K55" s="134"/>
      <c r="L55" s="135"/>
    </row>
    <row r="56" spans="5:12" ht="20.25" customHeight="1">
      <c r="E56" s="194"/>
      <c r="F56" s="230"/>
      <c r="G56" s="230"/>
      <c r="H56" s="195"/>
      <c r="K56" s="134"/>
      <c r="L56" s="135"/>
    </row>
    <row r="57" spans="5:12" ht="13.5" thickBot="1"/>
    <row r="58" spans="5:12" ht="13.5" thickBot="1">
      <c r="E58" s="226" t="s">
        <v>192</v>
      </c>
      <c r="F58" s="227"/>
      <c r="G58" s="227"/>
      <c r="H58" s="227"/>
      <c r="I58" s="227"/>
      <c r="J58" s="228"/>
      <c r="K58" s="131" t="s">
        <v>170</v>
      </c>
      <c r="L58" s="132">
        <f>L54+L30</f>
        <v>57994.277000000002</v>
      </c>
    </row>
  </sheetData>
  <mergeCells count="10">
    <mergeCell ref="B1:C1"/>
    <mergeCell ref="B4:C4"/>
    <mergeCell ref="B13:C13"/>
    <mergeCell ref="E4:L4"/>
    <mergeCell ref="E58:J58"/>
    <mergeCell ref="E54:H56"/>
    <mergeCell ref="E35:L35"/>
    <mergeCell ref="I37:J37"/>
    <mergeCell ref="I6:J6"/>
    <mergeCell ref="E30:H3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SemaphoreItemMetadata xmlns="03aba595-bc08-4bc6-a067-44fa0d6fce4c" xsi:nil="true"/>
    <TaxCatchAll xmlns="ca283e0b-db31-4043-a2ef-b80661bf084a">
      <Value>3</Value>
      <Value>23</Value>
    </TaxCatchAll>
    <ga975397408f43e4b84ec8e5a598e523 xmlns="ca283e0b-db31-4043-a2ef-b80661bf084a">
      <Terms xmlns="http://schemas.microsoft.com/office/infopath/2007/PartnerControls">
        <TermInfo xmlns="http://schemas.microsoft.com/office/infopath/2007/PartnerControls">
          <TermName xmlns="http://schemas.microsoft.com/office/infopath/2007/PartnerControls">Analysis,Planning &amp; Monitoring-456C</TermName>
          <TermId xmlns="http://schemas.microsoft.com/office/infopath/2007/PartnerControls">5955b2fd-5d7f-4ec6-8d67-6bd2d19d2fcb</TermId>
        </TermInfo>
      </Terms>
    </ga975397408f43e4b84ec8e5a598e523>
    <k8c968e8c72a4eda96b7e8fdbe192be2 xmlns="ca283e0b-db31-4043-a2ef-b80661bf084a">
      <Terms xmlns="http://schemas.microsoft.com/office/infopath/2007/PartnerControls"/>
    </k8c968e8c72a4eda96b7e8fdbe192be2>
    <j169e817e0ee4eb8974e6fc4a2762909 xmlns="ca283e0b-db31-4043-a2ef-b80661bf084a">
      <Terms xmlns="http://schemas.microsoft.com/office/infopath/2007/PartnerControls"/>
    </j169e817e0ee4eb8974e6fc4a2762909>
    <TaxKeywordTaxHTField xmlns="03aba595-bc08-4bc6-a067-44fa0d6fce4c">
      <Terms xmlns="http://schemas.microsoft.com/office/infopath/2007/PartnerControls">
        <TermInfo xmlns="http://schemas.microsoft.com/office/infopath/2007/PartnerControls">
          <TermName xmlns="http://schemas.microsoft.com/office/infopath/2007/PartnerControls">MICS6</TermName>
          <TermId xmlns="http://schemas.microsoft.com/office/infopath/2007/PartnerControls">fa90bbfa-5261-4494-8646-ce8b234e25fe</TermId>
        </TermInfo>
      </Terms>
    </TaxKeywordTaxHTField>
    <DateTransmittedEmail xmlns="ca283e0b-db31-4043-a2ef-b80661bf084a" xsi:nil="true"/>
    <ContentStatus xmlns="ca283e0b-db31-4043-a2ef-b80661bf084a" xsi:nil="true"/>
    <SenderEmail xmlns="ca283e0b-db31-4043-a2ef-b80661bf084a" xsi:nil="true"/>
    <IconOverlay xmlns="http://schemas.microsoft.com/sharepoint/v4" xsi:nil="true"/>
    <ContentLanguage xmlns="ca283e0b-db31-4043-a2ef-b80661bf084a">English</ContentLanguage>
    <j048a4f9aaad4a8990a1d5e5f53cb451 xmlns="ca283e0b-db31-4043-a2ef-b80661bf084a">
      <Terms xmlns="http://schemas.microsoft.com/office/infopath/2007/PartnerControls"/>
    </j048a4f9aaad4a8990a1d5e5f53cb451>
    <h6a71f3e574e4344bc34f3fc9dd20054 xmlns="ca283e0b-db31-4043-a2ef-b80661bf084a">
      <Terms xmlns="http://schemas.microsoft.com/office/infopath/2007/PartnerControls"/>
    </h6a71f3e574e4344bc34f3fc9dd20054>
    <CategoryDescription xmlns="http://schemas.microsoft.com/sharepoint.v3" xsi:nil="true"/>
    <RecipientsEmail xmlns="ca283e0b-db31-4043-a2ef-b80661bf084a" xsi:nil="true"/>
    <mda26ace941f4791a7314a339fee829c xmlns="ca283e0b-db31-4043-a2ef-b80661bf084a">
      <Terms xmlns="http://schemas.microsoft.com/office/infopath/2007/PartnerControls"/>
    </mda26ace941f4791a7314a339fee829c>
    <lcf76f155ced4ddcb4097134ff3c332f xmlns="2aac1c47-a7bd-4382-bbe6-d59290c165d5">
      <Terms xmlns="http://schemas.microsoft.com/office/infopath/2007/PartnerControls"/>
    </lcf76f155ced4ddcb4097134ff3c332f>
    <WrittenBy xmlns="ca283e0b-db31-4043-a2ef-b80661bf084a">
      <UserInfo>
        <DisplayName/>
        <AccountId xsi:nil="true"/>
        <AccountType/>
      </UserInfo>
    </WrittenBy>
  </documentManagement>
</p:properties>
</file>

<file path=customXml/item2.xml><?xml version="1.0" encoding="utf-8"?>
<?mso-contentType ?>
<SharedContentType xmlns="Microsoft.SharePoint.Taxonomy.ContentTypeSync" SourceId="73f51738-d318-4883-9d64-4f0bd0ccc55e" ContentTypeId="0x0101009BA85F8052A6DA4FA3E31FF9F74C6970"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UNICEF Document" ma:contentTypeID="0x0101009BA85F8052A6DA4FA3E31FF9F74C697000EC757063D55EF14399B2E4B65561595A" ma:contentTypeVersion="43" ma:contentTypeDescription="Create a new document." ma:contentTypeScope="" ma:versionID="15ed199f1242766ea3b8006f6e0558e5">
  <xsd:schema xmlns:xsd="http://www.w3.org/2001/XMLSchema" xmlns:xs="http://www.w3.org/2001/XMLSchema" xmlns:p="http://schemas.microsoft.com/office/2006/metadata/properties" xmlns:ns1="http://schemas.microsoft.com/sharepoint/v3" xmlns:ns2="ca283e0b-db31-4043-a2ef-b80661bf084a" xmlns:ns3="http://schemas.microsoft.com/sharepoint.v3" xmlns:ns4="03aba595-bc08-4bc6-a067-44fa0d6fce4c" xmlns:ns5="2aac1c47-a7bd-4382-bbe6-d59290c165d5" xmlns:ns6="http://schemas.microsoft.com/sharepoint/v4" targetNamespace="http://schemas.microsoft.com/office/2006/metadata/properties" ma:root="true" ma:fieldsID="b04d9c146c6390b3c117fb8541991c63" ns1:_="" ns2:_="" ns3:_="" ns4:_="" ns5:_="" ns6:_="">
    <xsd:import namespace="http://schemas.microsoft.com/sharepoint/v3"/>
    <xsd:import namespace="ca283e0b-db31-4043-a2ef-b80661bf084a"/>
    <xsd:import namespace="http://schemas.microsoft.com/sharepoint.v3"/>
    <xsd:import namespace="03aba595-bc08-4bc6-a067-44fa0d6fce4c"/>
    <xsd:import namespace="2aac1c47-a7bd-4382-bbe6-d59290c165d5"/>
    <xsd:import namespace="http://schemas.microsoft.com/sharepoint/v4"/>
    <xsd:element name="properties">
      <xsd:complexType>
        <xsd:sequence>
          <xsd:element name="documentManagement">
            <xsd:complexType>
              <xsd:all>
                <xsd:element ref="ns2:WrittenBy" minOccurs="0"/>
                <xsd:element ref="ns2:ContentLanguage" minOccurs="0"/>
                <xsd:element ref="ns3:CategoryDescription" minOccurs="0"/>
                <xsd:element ref="ns2:RecipientsEmail" minOccurs="0"/>
                <xsd:element ref="ns2:SenderEmail" minOccurs="0"/>
                <xsd:element ref="ns2:DateTransmittedEmail" minOccurs="0"/>
                <xsd:element ref="ns2:k8c968e8c72a4eda96b7e8fdbe192be2" minOccurs="0"/>
                <xsd:element ref="ns2:ga975397408f43e4b84ec8e5a598e523" minOccurs="0"/>
                <xsd:element ref="ns2:mda26ace941f4791a7314a339fee829c" minOccurs="0"/>
                <xsd:element ref="ns2:TaxCatchAllLabel" minOccurs="0"/>
                <xsd:element ref="ns2:TaxCatchAll" minOccurs="0"/>
                <xsd:element ref="ns2:h6a71f3e574e4344bc34f3fc9dd20054" minOccurs="0"/>
                <xsd:element ref="ns2:ContentStatus" minOccurs="0"/>
                <xsd:element ref="ns2:j169e817e0ee4eb8974e6fc4a2762909" minOccurs="0"/>
                <xsd:element ref="ns2:j048a4f9aaad4a8990a1d5e5f53cb451" minOccurs="0"/>
                <xsd:element ref="ns5:MediaServiceGenerationTime" minOccurs="0"/>
                <xsd:element ref="ns5:MediaServiceEventHashCode" minOccurs="0"/>
                <xsd:element ref="ns1:_vti_ItemHoldRecordStatus" minOccurs="0"/>
                <xsd:element ref="ns6:IconOverlay" minOccurs="0"/>
                <xsd:element ref="ns5:MediaServiceMetadata" minOccurs="0"/>
                <xsd:element ref="ns1:_vti_ItemDeclaredRecord" minOccurs="0"/>
                <xsd:element ref="ns4:TaxKeywordTaxHTField" minOccurs="0"/>
                <xsd:element ref="ns4:SharedWithDetails" minOccurs="0"/>
                <xsd:element ref="ns4:SharedWithUsers" minOccurs="0"/>
                <xsd:element ref="ns5:MediaServiceLocation" minOccurs="0"/>
                <xsd:element ref="ns5:MediaServiceAutoKeyPoints" minOccurs="0"/>
                <xsd:element ref="ns5:MediaServiceKeyPoints" minOccurs="0"/>
                <xsd:element ref="ns5:MediaServiceFastMetadata" minOccurs="0"/>
                <xsd:element ref="ns5:MediaServiceAutoTags" minOccurs="0"/>
                <xsd:element ref="ns5:MediaServiceOCR" minOccurs="0"/>
                <xsd:element ref="ns5:MediaServiceDateTaken" minOccurs="0"/>
                <xsd:element ref="ns4:SemaphoreItemMetadata" minOccurs="0"/>
                <xsd:element ref="ns5:MediaLengthInSeconds" minOccurs="0"/>
                <xsd:element ref="ns5: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HoldRecordStatus" ma:index="33" nillable="true" ma:displayName="Hold and Record Status" ma:decimals="0" ma:description="" ma:hidden="true" ma:indexed="true" ma:internalName="_vti_ItemHoldRecordStatus" ma:readOnly="true">
      <xsd:simpleType>
        <xsd:restriction base="dms:Unknown"/>
      </xsd:simpleType>
    </xsd:element>
    <xsd:element name="_vti_ItemDeclaredRecord" ma:index="36"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a283e0b-db31-4043-a2ef-b80661bf084a" elementFormDefault="qualified">
    <xsd:import namespace="http://schemas.microsoft.com/office/2006/documentManagement/types"/>
    <xsd:import namespace="http://schemas.microsoft.com/office/infopath/2007/PartnerControls"/>
    <xsd:element name="WrittenBy" ma:index="3" nillable="true" ma:displayName="Written By" ma:description="‘Written By’ is auto-completed with the name of the uploader, but can be edited if you are uploading on behalf of someone else." ma:list="UserInfo" ma:SharePointGroup="0" ma:internalName="WrittenBy"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Language" ma:index="4" nillable="true" ma:displayName="Content Language *" ma:default="English" ma:format="RadioButtons" ma:indexed="true" ma:internalName="ContentLanguage">
      <xsd:simpleType>
        <xsd:restriction base="dms:Choice">
          <xsd:enumeration value="English"/>
          <xsd:enumeration value="French"/>
          <xsd:enumeration value="Spanish"/>
          <xsd:enumeration value="Russian"/>
          <xsd:enumeration value="Chinese"/>
          <xsd:enumeration value="Arabic"/>
          <xsd:enumeration value="other"/>
        </xsd:restriction>
      </xsd:simpleType>
    </xsd:element>
    <xsd:element name="RecipientsEmail" ma:index="9" nillable="true" ma:displayName="Recipients (email)" ma:hidden="true" ma:internalName="RecipientsEmail" ma:readOnly="false">
      <xsd:simpleType>
        <xsd:restriction base="dms:Text">
          <xsd:maxLength value="255"/>
        </xsd:restriction>
      </xsd:simpleType>
    </xsd:element>
    <xsd:element name="SenderEmail" ma:index="10" nillable="true" ma:displayName="Sender (email)" ma:hidden="true" ma:internalName="SenderEmail" ma:readOnly="false">
      <xsd:simpleType>
        <xsd:restriction base="dms:Text">
          <xsd:maxLength value="255"/>
        </xsd:restriction>
      </xsd:simpleType>
    </xsd:element>
    <xsd:element name="DateTransmittedEmail" ma:index="11" nillable="true" ma:displayName="Date transmitted (email)" ma:format="DateTime" ma:hidden="true" ma:internalName="DateTransmittedEmail" ma:readOnly="false">
      <xsd:simpleType>
        <xsd:restriction base="dms:DateTime"/>
      </xsd:simpleType>
    </xsd:element>
    <xsd:element name="k8c968e8c72a4eda96b7e8fdbe192be2" ma:index="12" nillable="true" ma:taxonomy="true" ma:internalName="k8c968e8c72a4eda96b7e8fdbe192be2" ma:taxonomyFieldName="GeographicScope" ma:displayName="Geographic Scope" ma:default="" ma:fieldId="{48c968e8-c72a-4eda-96b7-e8fdbe192be2}" ma:taxonomyMulti="true" ma:sspId="73f51738-d318-4883-9d64-4f0bd0ccc55e" ma:termSetId="0a00fedf-defc-4fe3-a3bf-9929b29a638e" ma:anchorId="00000000-0000-0000-0000-000000000000" ma:open="false" ma:isKeyword="false">
      <xsd:complexType>
        <xsd:sequence>
          <xsd:element ref="pc:Terms" minOccurs="0" maxOccurs="1"/>
        </xsd:sequence>
      </xsd:complexType>
    </xsd:element>
    <xsd:element name="ga975397408f43e4b84ec8e5a598e523" ma:index="16" nillable="true" ma:taxonomy="true" ma:internalName="ga975397408f43e4b84ec8e5a598e523" ma:taxonomyFieldName="OfficeDivision" ma:displayName="Office/Division *" ma:default="178;#Analysis,Planning &amp; Monitoring-456C|5955b2fd-5d7f-4ec6-8d67-6bd2d19d2fcb" ma:fieldId="{0a975397-408f-43e4-b84e-c8e5a598e523}" ma:sspId="73f51738-d318-4883-9d64-4f0bd0ccc55e" ma:termSetId="1761a25e-44f4-4213-964a-f96c515e12cb" ma:anchorId="00000000-0000-0000-0000-000000000000" ma:open="false" ma:isKeyword="false">
      <xsd:complexType>
        <xsd:sequence>
          <xsd:element ref="pc:Terms" minOccurs="0" maxOccurs="1"/>
        </xsd:sequence>
      </xsd:complexType>
    </xsd:element>
    <xsd:element name="mda26ace941f4791a7314a339fee829c" ma:index="17" nillable="true" ma:taxonomy="true" ma:internalName="mda26ace941f4791a7314a339fee829c" ma:taxonomyFieldName="DocumentType" ma:displayName="Document Type *" ma:indexed="true" ma:default="" ma:fieldId="{6da26ace-941f-4791-a731-4a339fee829c}" ma:sspId="73f51738-d318-4883-9d64-4f0bd0ccc55e" ma:termSetId="f93b6877-8902-4378-8587-5ec85f36ead9" ma:anchorId="00000000-0000-0000-0000-000000000000" ma:open="false" ma:isKeyword="false">
      <xsd:complexType>
        <xsd:sequence>
          <xsd:element ref="pc:Terms" minOccurs="0" maxOccurs="1"/>
        </xsd:sequence>
      </xsd:complexType>
    </xsd:element>
    <xsd:element name="TaxCatchAllLabel" ma:index="18" nillable="true" ma:displayName="Taxonomy Catch All Column1" ma:hidden="true" ma:list="{f18c69bd-8d9b-48fb-bf08-f87e298dbead}" ma:internalName="TaxCatchAllLabel" ma:readOnly="true" ma:showField="CatchAllDataLabel" ma:web="03aba595-bc08-4bc6-a067-44fa0d6fce4c">
      <xsd:complexType>
        <xsd:complexContent>
          <xsd:extension base="dms:MultiChoiceLookup">
            <xsd:sequence>
              <xsd:element name="Value" type="dms:Lookup" maxOccurs="unbounded" minOccurs="0" nillable="true"/>
            </xsd:sequence>
          </xsd:extension>
        </xsd:complexContent>
      </xsd:complexType>
    </xsd:element>
    <xsd:element name="TaxCatchAll" ma:index="22" nillable="true" ma:displayName="Taxonomy Catch All Column" ma:hidden="true" ma:list="{f18c69bd-8d9b-48fb-bf08-f87e298dbead}" ma:internalName="TaxCatchAll" ma:showField="CatchAllData" ma:web="03aba595-bc08-4bc6-a067-44fa0d6fce4c">
      <xsd:complexType>
        <xsd:complexContent>
          <xsd:extension base="dms:MultiChoiceLookup">
            <xsd:sequence>
              <xsd:element name="Value" type="dms:Lookup" maxOccurs="unbounded" minOccurs="0" nillable="true"/>
            </xsd:sequence>
          </xsd:extension>
        </xsd:complexContent>
      </xsd:complexType>
    </xsd:element>
    <xsd:element name="h6a71f3e574e4344bc34f3fc9dd20054" ma:index="23" nillable="true" ma:taxonomy="true" ma:internalName="h6a71f3e574e4344bc34f3fc9dd20054" ma:taxonomyFieldName="Topic" ma:displayName="Topic *" ma:default="" ma:fieldId="{16a71f3e-574e-4344-bc34-f3fc9dd20054}" ma:taxonomyMulti="true" ma:sspId="73f51738-d318-4883-9d64-4f0bd0ccc55e" ma:termSetId="9561e0e6-71cf-4f3c-87c3-08a6b5d907e8" ma:anchorId="00000000-0000-0000-0000-000000000000" ma:open="false" ma:isKeyword="false">
      <xsd:complexType>
        <xsd:sequence>
          <xsd:element ref="pc:Terms" minOccurs="0" maxOccurs="1"/>
        </xsd:sequence>
      </xsd:complexType>
    </xsd:element>
    <xsd:element name="ContentStatus" ma:index="25" nillable="true" ma:displayName="Content Status" ma:description="Optional column to indicate document status: no status, draft, final or expired.​" ma:format="RadioButtons" ma:internalName="ContentStatus">
      <xsd:simpleType>
        <xsd:restriction base="dms:Choice">
          <xsd:enumeration value="­"/>
          <xsd:enumeration value="Draft"/>
          <xsd:enumeration value="Final"/>
          <xsd:enumeration value="Expired"/>
        </xsd:restriction>
      </xsd:simpleType>
    </xsd:element>
    <xsd:element name="j169e817e0ee4eb8974e6fc4a2762909" ma:index="26" nillable="true" ma:taxonomy="true" ma:internalName="j169e817e0ee4eb8974e6fc4a2762909" ma:taxonomyFieldName="CriticalForLongTermRetention" ma:displayName="Critical for long-term retention?" ma:default="" ma:fieldId="{3169e817-e0ee-4eb8-974e-6fc4a2762909}" ma:sspId="73f51738-d318-4883-9d64-4f0bd0ccc55e" ma:termSetId="59f85175-3dbf-4592-9c1d-453af9da4e8b" ma:anchorId="00000000-0000-0000-0000-000000000000" ma:open="false" ma:isKeyword="false">
      <xsd:complexType>
        <xsd:sequence>
          <xsd:element ref="pc:Terms" minOccurs="0" maxOccurs="1"/>
        </xsd:sequence>
      </xsd:complexType>
    </xsd:element>
    <xsd:element name="j048a4f9aaad4a8990a1d5e5f53cb451" ma:index="28" nillable="true" ma:taxonomy="true" ma:internalName="j048a4f9aaad4a8990a1d5e5f53cb451" ma:taxonomyFieldName="SystemDTAC" ma:displayName="System-DT-AC" ma:default="" ma:fieldId="{3048a4f9-aaad-4a89-90a1-d5e5f53cb451}" ma:sspId="73f51738-d318-4883-9d64-4f0bd0ccc55e" ma:termSetId="1e3381f3-a35f-499a-9a3c-017e5423e0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internalName="Category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3aba595-bc08-4bc6-a067-44fa0d6fce4c" elementFormDefault="qualified">
    <xsd:import namespace="http://schemas.microsoft.com/office/2006/documentManagement/types"/>
    <xsd:import namespace="http://schemas.microsoft.com/office/infopath/2007/PartnerControls"/>
    <xsd:element name="TaxKeywordTaxHTField" ma:index="37" nillable="true" ma:taxonomy="true" ma:internalName="TaxKeywordTaxHTField" ma:taxonomyFieldName="TaxKeyword" ma:displayName="Enterprise Keywords" ma:fieldId="{23f27201-bee3-471e-b2e7-b64fd8b7ca38}" ma:taxonomyMulti="true" ma:sspId="73f51738-d318-4883-9d64-4f0bd0ccc55e" ma:termSetId="00000000-0000-0000-0000-000000000000" ma:anchorId="00000000-0000-0000-0000-000000000000" ma:open="true" ma:isKeyword="true">
      <xsd:complexType>
        <xsd:sequence>
          <xsd:element ref="pc:Terms" minOccurs="0" maxOccurs="1"/>
        </xsd:sequence>
      </xsd:complexType>
    </xsd:element>
    <xsd:element name="SharedWithDetails" ma:index="38" nillable="true" ma:displayName="Shared With Details" ma:internalName="SharedWithDetails" ma:readOnly="true">
      <xsd:simpleType>
        <xsd:restriction base="dms:Note">
          <xsd:maxLength value="255"/>
        </xsd:restriction>
      </xsd:simpleType>
    </xsd:element>
    <xsd:element name="SharedWithUsers" ma:index="3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emaphoreItemMetadata" ma:index="47" nillable="true" ma:displayName="Semaphore Status" ma:hidden="true" ma:internalName="SemaphoreItemMeta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aac1c47-a7bd-4382-bbe6-d59290c165d5" elementFormDefault="qualified">
    <xsd:import namespace="http://schemas.microsoft.com/office/2006/documentManagement/types"/>
    <xsd:import namespace="http://schemas.microsoft.com/office/infopath/2007/PartnerControls"/>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Metadata" ma:index="35" nillable="true" ma:displayName="MediaServiceMetadata" ma:hidden="true" ma:internalName="MediaServiceMetadata" ma:readOnly="true">
      <xsd:simpleType>
        <xsd:restriction base="dms:Note"/>
      </xsd:simpleType>
    </xsd:element>
    <xsd:element name="MediaServiceLocation" ma:index="40" nillable="true" ma:displayName="Location" ma:internalName="MediaServiceLocation" ma:readOnly="true">
      <xsd:simpleType>
        <xsd:restriction base="dms:Text"/>
      </xsd:simpleType>
    </xsd:element>
    <xsd:element name="MediaServiceAutoKeyPoints" ma:index="41" nillable="true" ma:displayName="MediaServiceAutoKeyPoints" ma:hidden="true" ma:internalName="MediaServiceAutoKeyPoints" ma:readOnly="true">
      <xsd:simpleType>
        <xsd:restriction base="dms:Note"/>
      </xsd:simpleType>
    </xsd:element>
    <xsd:element name="MediaServiceKeyPoints" ma:index="42" nillable="true" ma:displayName="KeyPoints" ma:internalName="MediaServiceKeyPoints" ma:readOnly="true">
      <xsd:simpleType>
        <xsd:restriction base="dms:Note">
          <xsd:maxLength value="255"/>
        </xsd:restriction>
      </xsd:simpleType>
    </xsd:element>
    <xsd:element name="MediaServiceFastMetadata" ma:index="43" nillable="true" ma:displayName="MediaServiceFastMetadata" ma:hidden="true" ma:internalName="MediaServiceFastMetadata" ma:readOnly="true">
      <xsd:simpleType>
        <xsd:restriction base="dms:Note"/>
      </xsd:simpleType>
    </xsd:element>
    <xsd:element name="MediaServiceAutoTags" ma:index="44" nillable="true" ma:displayName="Tags" ma:internalName="MediaServiceAutoTags" ma:readOnly="true">
      <xsd:simpleType>
        <xsd:restriction base="dms:Text"/>
      </xsd:simpleType>
    </xsd:element>
    <xsd:element name="MediaServiceOCR" ma:index="45" nillable="true" ma:displayName="Extracted Text" ma:internalName="MediaServiceOCR" ma:readOnly="true">
      <xsd:simpleType>
        <xsd:restriction base="dms:Note">
          <xsd:maxLength value="255"/>
        </xsd:restriction>
      </xsd:simpleType>
    </xsd:element>
    <xsd:element name="MediaServiceDateTaken" ma:index="46" nillable="true" ma:displayName="MediaServiceDateTaken" ma:hidden="true" ma:internalName="MediaServiceDateTaken" ma:readOnly="true">
      <xsd:simpleType>
        <xsd:restriction base="dms:Text"/>
      </xsd:simpleType>
    </xsd:element>
    <xsd:element name="MediaLengthInSeconds" ma:index="48" nillable="true" ma:displayName="Length (seconds)" ma:internalName="MediaLengthInSeconds" ma:readOnly="true">
      <xsd:simpleType>
        <xsd:restriction base="dms:Unknown"/>
      </xsd:simpleType>
    </xsd:element>
    <xsd:element name="lcf76f155ced4ddcb4097134ff3c332f" ma:index="50" nillable="true" ma:taxonomy="true" ma:internalName="lcf76f155ced4ddcb4097134ff3c332f" ma:taxonomyFieldName="MediaServiceImageTags" ma:displayName="Image Tags" ma:readOnly="false" ma:fieldId="{5cf76f15-5ced-4ddc-b409-7134ff3c332f}" ma:taxonomyMulti="true" ma:sspId="73f51738-d318-4883-9d64-4f0bd0ccc55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customXsn xmlns="http://schemas.microsoft.com/office/2006/metadata/customXsn">
  <xsnLocation/>
  <cached>True</cached>
  <openByDefault>True</openByDefault>
  <xsnScope/>
</customXsn>
</file>

<file path=customXml/item6.xml><?xml version="1.0" encoding="utf-8"?>
<?mso-contentType ?>
<spe:Receivers xmlns:spe="http://schemas.microsoft.com/sharepoint/events"/>
</file>

<file path=customXml/itemProps1.xml><?xml version="1.0" encoding="utf-8"?>
<ds:datastoreItem xmlns:ds="http://schemas.openxmlformats.org/officeDocument/2006/customXml" ds:itemID="{50143DA2-6EBF-4DEB-B884-409EB09311B6}"/>
</file>

<file path=customXml/itemProps2.xml><?xml version="1.0" encoding="utf-8"?>
<ds:datastoreItem xmlns:ds="http://schemas.openxmlformats.org/officeDocument/2006/customXml" ds:itemID="{5D9D7957-DFC6-4366-89DC-CD92BC03BFCF}"/>
</file>

<file path=customXml/itemProps3.xml><?xml version="1.0" encoding="utf-8"?>
<ds:datastoreItem xmlns:ds="http://schemas.openxmlformats.org/officeDocument/2006/customXml" ds:itemID="{C63C105C-76B5-4A72-8FA8-188F204B9455}"/>
</file>

<file path=customXml/itemProps4.xml><?xml version="1.0" encoding="utf-8"?>
<ds:datastoreItem xmlns:ds="http://schemas.openxmlformats.org/officeDocument/2006/customXml" ds:itemID="{D89C1A11-B13C-4658-93CC-678F59F83E83}"/>
</file>

<file path=customXml/itemProps5.xml><?xml version="1.0" encoding="utf-8"?>
<ds:datastoreItem xmlns:ds="http://schemas.openxmlformats.org/officeDocument/2006/customXml" ds:itemID="{8FA3D134-EA3B-4361-93B9-C79533C5E4FC}"/>
</file>

<file path=customXml/itemProps6.xml><?xml version="1.0" encoding="utf-8"?>
<ds:datastoreItem xmlns:ds="http://schemas.openxmlformats.org/officeDocument/2006/customXml" ds:itemID="{14E89C90-2D63-4F33-A9CB-12175E3C4B2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UNICEF-MICS</dc:creator>
  <cp:keywords>MICS6</cp:keywords>
  <dc:description/>
  <cp:lastModifiedBy>TK</cp:lastModifiedBy>
  <cp:revision/>
  <dcterms:created xsi:type="dcterms:W3CDTF">2005-05-03T23:15:00Z</dcterms:created>
  <dcterms:modified xsi:type="dcterms:W3CDTF">2023-04-23T00:46:18Z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0x0101009BA85F8052A6DA4FA3E31FF9F74C697000EC757063D55EF14399B2E4B65561595A</vt:lpwstr>
  </property>
  <property fmtid="{D5CDD505-2E9C-101B-9397-08002B2CF9AE}" pid="3" name="SystemDTAC">
    <vt:lpwstr/>
  </property>
  <property fmtid="{D5CDD505-2E9C-101B-9397-08002B2CF9AE}" pid="4" name="TaxKeyword">
    <vt:lpwstr>23;#MICS6|fa90bbfa-5261-4494-8646-ce8b234e25fe</vt:lpwstr>
  </property>
  <property fmtid="{D5CDD505-2E9C-101B-9397-08002B2CF9AE}" pid="5" name="Topic">
    <vt:lpwstr/>
  </property>
  <property fmtid="{D5CDD505-2E9C-101B-9397-08002B2CF9AE}" pid="6" name="MediaServiceImageTags">
    <vt:lpwstr/>
  </property>
  <property fmtid="{D5CDD505-2E9C-101B-9397-08002B2CF9AE}" pid="7" name="OfficeDivision">
    <vt:lpwstr>3;#Analysis,Planning &amp; Monitoring-456C|5955b2fd-5d7f-4ec6-8d67-6bd2d19d2fcb</vt:lpwstr>
  </property>
  <property fmtid="{D5CDD505-2E9C-101B-9397-08002B2CF9AE}" pid="8" name="CriticalForLongTermRetention">
    <vt:lpwstr/>
  </property>
  <property fmtid="{D5CDD505-2E9C-101B-9397-08002B2CF9AE}" pid="9" name="DocumentType">
    <vt:lpwstr/>
  </property>
  <property fmtid="{D5CDD505-2E9C-101B-9397-08002B2CF9AE}" pid="10" name="GeographicScope">
    <vt:lpwstr/>
  </property>
</Properties>
</file>