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11"/>
  <workbookPr/>
  <mc:AlternateContent xmlns:mc="http://schemas.openxmlformats.org/markup-compatibility/2006">
    <mc:Choice Requires="x15">
      <x15ac:absPath xmlns:x15ac="http://schemas.microsoft.com/office/spreadsheetml/2010/11/ac" url="C:\Users\Bo\UNICEF\Turgay Unalan - MICS6 Survey Tools\1 Survey Design\11 Planning the Survey\"/>
    </mc:Choice>
  </mc:AlternateContent>
  <xr:revisionPtr revIDLastSave="0" documentId="8_{94823636-7C6F-46E5-89FB-15CAB37C50AF}" xr6:coauthVersionLast="45" xr6:coauthVersionMax="45" xr10:uidLastSave="{00000000-0000-0000-0000-000000000000}"/>
  <bookViews>
    <workbookView xWindow="-120" yWindow="-120" windowWidth="29040" windowHeight="15840" tabRatio="755" xr2:uid="{00000000-000D-0000-FFFF-FFFF00000000}"/>
  </bookViews>
  <sheets>
    <sheet name="Fieldwork Duration" sheetId="5" r:id="rId1"/>
    <sheet name="Listing Duration" sheetId="10" r:id="rId2"/>
    <sheet name="Listing Staff" sheetId="11" r:id="rId3"/>
    <sheet name="Fieldwork Staff" sheetId="8" r:id="rId4"/>
    <sheet name="Supplies" sheetId="7" r:id="rId5"/>
    <sheet name="Tablet Supplies" sheetId="15" r:id="rId6"/>
    <sheet name="Water Quality Supplies" sheetId="14" r:id="rId7"/>
  </sheets>
  <definedNames>
    <definedName name="Print_Titles_MI" localSheetId="6">#REF!</definedName>
    <definedName name="Print_Titles_MI">#REF!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5" l="1"/>
  <c r="C16" i="15"/>
  <c r="C14" i="15"/>
  <c r="C12" i="15"/>
  <c r="C10" i="15"/>
  <c r="C20" i="15"/>
  <c r="C8" i="15"/>
  <c r="C14" i="7"/>
  <c r="C10" i="14"/>
  <c r="F10" i="14" s="1"/>
  <c r="J10" i="14" s="1"/>
  <c r="K10" i="14" s="1"/>
  <c r="C8" i="14"/>
  <c r="F18" i="14" s="1"/>
  <c r="J18" i="14" s="1"/>
  <c r="K18" i="14" s="1"/>
  <c r="F19" i="10"/>
  <c r="F19" i="5"/>
  <c r="F9" i="11"/>
  <c r="F12" i="11"/>
  <c r="F22" i="11"/>
  <c r="F13" i="11"/>
  <c r="C10" i="11"/>
  <c r="F10" i="11"/>
  <c r="F11" i="11"/>
  <c r="F15" i="10"/>
  <c r="F13" i="10"/>
  <c r="F17" i="10"/>
  <c r="C6" i="10"/>
  <c r="C8" i="8"/>
  <c r="F10" i="5"/>
  <c r="F12" i="5"/>
  <c r="F14" i="5"/>
  <c r="F15" i="5"/>
  <c r="C12" i="8"/>
  <c r="F9" i="8"/>
  <c r="F10" i="8"/>
  <c r="C14" i="8"/>
  <c r="C16" i="8"/>
  <c r="F12" i="8"/>
  <c r="F16" i="8"/>
  <c r="F15" i="8"/>
  <c r="F25" i="8"/>
  <c r="F26" i="8"/>
  <c r="F17" i="8"/>
  <c r="F27" i="8"/>
  <c r="F18" i="8"/>
  <c r="F28" i="8"/>
  <c r="F29" i="8"/>
  <c r="F30" i="8"/>
  <c r="C12" i="7"/>
  <c r="C16" i="7"/>
  <c r="C8" i="7"/>
  <c r="C10" i="7"/>
  <c r="F21" i="11"/>
  <c r="C12" i="11"/>
  <c r="C8" i="11"/>
  <c r="F19" i="11"/>
  <c r="F24" i="11"/>
  <c r="F23" i="11"/>
  <c r="C10" i="8"/>
  <c r="F20" i="11"/>
  <c r="F8" i="8"/>
  <c r="F8" i="5"/>
  <c r="F17" i="5"/>
  <c r="F11" i="8"/>
  <c r="F25" i="11"/>
  <c r="F19" i="8"/>
  <c r="G18" i="14" l="1"/>
  <c r="F11" i="14"/>
  <c r="J11" i="14" s="1"/>
  <c r="K11" i="14" s="1"/>
  <c r="F23" i="14"/>
  <c r="J23" i="14" s="1"/>
  <c r="K23" i="14" s="1"/>
  <c r="F21" i="14"/>
  <c r="J21" i="14" s="1"/>
  <c r="K21" i="14" s="1"/>
  <c r="K24" i="14" s="1"/>
  <c r="G20" i="14"/>
  <c r="G21" i="14"/>
  <c r="F13" i="14"/>
  <c r="J13" i="14" s="1"/>
  <c r="K13" i="14" s="1"/>
  <c r="K28" i="14"/>
  <c r="G22" i="14"/>
  <c r="F19" i="14"/>
  <c r="J19" i="14" s="1"/>
  <c r="K19" i="14" s="1"/>
  <c r="F12" i="14"/>
  <c r="J12" i="14" s="1"/>
  <c r="K12" i="14" s="1"/>
  <c r="G19" i="14"/>
  <c r="G23" i="14"/>
  <c r="F22" i="14"/>
  <c r="J22" i="14" s="1"/>
  <c r="K22" i="14" s="1"/>
  <c r="F20" i="14"/>
  <c r="J20" i="14" s="1"/>
  <c r="K20" i="14" s="1"/>
  <c r="K14" i="14" l="1"/>
  <c r="K26" i="14" s="1"/>
  <c r="K31" i="14" s="1"/>
</calcChain>
</file>

<file path=xl/sharedStrings.xml><?xml version="1.0" encoding="utf-8"?>
<sst xmlns="http://schemas.openxmlformats.org/spreadsheetml/2006/main" count="200" uniqueCount="144">
  <si>
    <t xml:space="preserve">Template for calculating the duration of fieldwork </t>
  </si>
  <si>
    <t>Enter values from the MICS survey plan into the input value table. The corresponding estimates of fieldwork duration will be shown in the output value table. This spreadsheet serves as input to the other sheets in the workbook. It is therefore advisable to first enter data here and later continuously confirm that the correct values are entered in inputs here.</t>
  </si>
  <si>
    <t>INPUT VALUES</t>
  </si>
  <si>
    <t>OUTPUT VALUES</t>
  </si>
  <si>
    <t>Parameter</t>
  </si>
  <si>
    <t>Value</t>
  </si>
  <si>
    <t>Estimates</t>
  </si>
  <si>
    <t>Number of households (Total sample size)</t>
  </si>
  <si>
    <t>Total number of working days needed</t>
  </si>
  <si>
    <r>
      <t>Number of households to be completed per day per interviewer</t>
    </r>
    <r>
      <rPr>
        <vertAlign val="superscript"/>
        <sz val="10"/>
        <rFont val="Arial"/>
        <family val="2"/>
      </rPr>
      <t>1</t>
    </r>
    <r>
      <rPr>
        <sz val="10"/>
        <rFont val="Arial"/>
        <family val="2"/>
      </rPr>
      <t xml:space="preserve"> (net)</t>
    </r>
  </si>
  <si>
    <t>Number of households completed per day per team</t>
  </si>
  <si>
    <r>
      <t>Number of fieldwork teams</t>
    </r>
    <r>
      <rPr>
        <vertAlign val="superscript"/>
        <sz val="10"/>
        <rFont val="Arial"/>
        <family val="2"/>
      </rPr>
      <t>2</t>
    </r>
  </si>
  <si>
    <t>Number of households completed per day for all teams</t>
  </si>
  <si>
    <r>
      <t>Number of interviewers per team</t>
    </r>
    <r>
      <rPr>
        <vertAlign val="superscript"/>
        <sz val="10"/>
        <rFont val="Arial"/>
        <family val="2"/>
      </rPr>
      <t>3</t>
    </r>
  </si>
  <si>
    <t>Duration of fieldwork in working days</t>
  </si>
  <si>
    <t>Total duration in working weeks</t>
  </si>
  <si>
    <r>
      <t>Number of households per cluster</t>
    </r>
    <r>
      <rPr>
        <vertAlign val="superscript"/>
        <sz val="10"/>
        <rFont val="Arial"/>
        <family val="2"/>
      </rPr>
      <t>4</t>
    </r>
  </si>
  <si>
    <r>
      <t>1 week = 5 working days + 1 rest &amp; 1 travel day</t>
    </r>
    <r>
      <rPr>
        <i/>
        <vertAlign val="superscript"/>
        <sz val="10"/>
        <rFont val="Arial"/>
        <family val="2"/>
      </rPr>
      <t>5</t>
    </r>
  </si>
  <si>
    <t>Total duration of the fieldwork in days</t>
  </si>
  <si>
    <t>Fieldwork start date [d-mmm-yyyy]</t>
  </si>
  <si>
    <t>Fieldwork end date [d-mmm-yyyy]</t>
  </si>
  <si>
    <r>
      <rPr>
        <vertAlign val="superscript"/>
        <sz val="8"/>
        <rFont val="Arial"/>
        <family val="2"/>
      </rPr>
      <t xml:space="preserve">1 </t>
    </r>
    <r>
      <rPr>
        <sz val="8"/>
        <rFont val="Arial"/>
        <family val="2"/>
      </rPr>
      <t xml:space="preserve">On average interviewers should be able to comfortably complete up to 3-4 household per day, including all questionnaires. The number here is net, meaning that it includes re-visits to the households. Aiming for larger numbers of households per day will lead to problems in data quality. </t>
    </r>
  </si>
  <si>
    <r>
      <t xml:space="preserve">2 </t>
    </r>
    <r>
      <rPr>
        <sz val="8"/>
        <rFont val="Arial"/>
        <family val="2"/>
      </rPr>
      <t xml:space="preserve">The number of fieldwork teams needs to be kept to a manageable size (between 5-20 teams are recommended) in order to ensure field monitoring and quality assurance measures can be undertaken. </t>
    </r>
  </si>
  <si>
    <r>
      <rPr>
        <vertAlign val="superscript"/>
        <sz val="8"/>
        <rFont val="Arial"/>
        <family val="2"/>
      </rPr>
      <t>3</t>
    </r>
    <r>
      <rPr>
        <sz val="8"/>
        <rFont val="Arial"/>
        <family val="2"/>
      </rPr>
      <t xml:space="preserve"> MICS recommends that field teams have 4 interviewers, as well as 1 supervisor and 1 measurer. For PAPI surveys a field editor is also required on each team. </t>
    </r>
  </si>
  <si>
    <r>
      <rPr>
        <vertAlign val="superscript"/>
        <sz val="8"/>
        <rFont val="Arial"/>
        <family val="2"/>
      </rPr>
      <t>4</t>
    </r>
    <r>
      <rPr>
        <sz val="8"/>
        <rFont val="Arial"/>
        <family val="2"/>
      </rPr>
      <t xml:space="preserve"> MICS recommends between 15 to 25 households per cluster</t>
    </r>
  </si>
  <si>
    <r>
      <rPr>
        <vertAlign val="superscript"/>
        <sz val="8"/>
        <rFont val="Arial"/>
        <family val="2"/>
      </rPr>
      <t>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 a different pattern, i.e. without such base locations. This would be the case if long distances between clusters.</t>
    </r>
  </si>
  <si>
    <t>Template for calculating the duration of household listing and mapping</t>
  </si>
  <si>
    <t>Enter values from the MICS survey plan into the input value table (requires input on 'Fieldwork Duration' spreadsheet). The corresponding estimates of listing and mapping duration will be shown in the output value table.</t>
  </si>
  <si>
    <t>INPUT VALUES READ FROM THE WORKSHEET 'Fieldwork Duration'</t>
  </si>
  <si>
    <t>Number of clusters</t>
  </si>
  <si>
    <r>
      <t>Number of clusters to be completed per working day per listing team</t>
    </r>
    <r>
      <rPr>
        <vertAlign val="superscript"/>
        <sz val="10"/>
        <rFont val="Arial"/>
        <family val="2"/>
      </rPr>
      <t>6</t>
    </r>
  </si>
  <si>
    <r>
      <t>Total number of working days needed + 25%</t>
    </r>
    <r>
      <rPr>
        <vertAlign val="superscript"/>
        <sz val="10"/>
        <rFont val="Arial"/>
        <family val="2"/>
      </rPr>
      <t>8</t>
    </r>
  </si>
  <si>
    <r>
      <t>Number of listing teams</t>
    </r>
    <r>
      <rPr>
        <vertAlign val="superscript"/>
        <sz val="10"/>
        <rFont val="Arial"/>
        <family val="2"/>
      </rPr>
      <t>7</t>
    </r>
  </si>
  <si>
    <t>Duration of listing and mapping in working days</t>
  </si>
  <si>
    <t>Total duration in weeks</t>
  </si>
  <si>
    <r>
      <t>1 week = (6 working days + 1 rest)</t>
    </r>
    <r>
      <rPr>
        <vertAlign val="superscript"/>
        <sz val="10"/>
        <rFont val="Arial"/>
        <family val="2"/>
      </rPr>
      <t>9</t>
    </r>
  </si>
  <si>
    <t>Listing and mapping start date [d-mmm-yyyy]</t>
  </si>
  <si>
    <r>
      <rPr>
        <vertAlign val="superscript"/>
        <sz val="8"/>
        <rFont val="Arial"/>
        <family val="2"/>
      </rPr>
      <t xml:space="preserve">6 </t>
    </r>
    <r>
      <rPr>
        <sz val="8"/>
        <rFont val="Arial"/>
        <family val="2"/>
      </rPr>
      <t>On average one lister and one mapper should be able to comfortably complete 1 cluster per day (generally with an overall average of 80 to 120 households each). It should be possible even if the survey additionally collects information on presence of children under age 5 in listed households (or similar needed for over-sampling), extra question on special populations such as Roma or if a lack of census maps or with old maps. More than one cluster per day is possible mainly in urban clusters and requires newly created maps or ortho-photos and more attention in listing.</t>
    </r>
  </si>
  <si>
    <r>
      <t xml:space="preserve">7 </t>
    </r>
    <r>
      <rPr>
        <sz val="8"/>
        <rFont val="Arial"/>
        <family val="2"/>
      </rPr>
      <t>The number of teams needs to be kept to a manageable number that can be adequately trained and monitored in the field. It is recommended to have a maximum of 3 teams per region and no more than 50 staff to manage.</t>
    </r>
  </si>
  <si>
    <r>
      <t>8</t>
    </r>
    <r>
      <rPr>
        <sz val="8"/>
        <rFont val="Arial"/>
        <family val="2"/>
      </rPr>
      <t xml:space="preserve"> Extra travel days should be considered for teams covering large geographic areas or remote clusters with lengthy or demanding travel involved (long drive, walking, sailing). Regardless, it is recommendedto keep these 25% additional days for any survey to account for large clusters, segmentation, bad weather conditions, re-visits, etc.</t>
    </r>
  </si>
  <si>
    <r>
      <t>9</t>
    </r>
    <r>
      <rPr>
        <sz val="8"/>
        <rFont val="Arial"/>
        <family val="2"/>
      </rPr>
      <t xml:space="preserve"> The Listing and Mapping teams require one off-day every week.</t>
    </r>
  </si>
  <si>
    <t>Template for calculating number of staff required for household listing and mapping</t>
  </si>
  <si>
    <t xml:space="preserve">Enter values from the MICS survey plan into the input value table (requires input on 'Fieldwork Duration' spreadsheet). The corresponding estimates of listing and mapping staff requirement and training participants will be shown in the output value table.  </t>
  </si>
  <si>
    <t>INPUT VALUES READ FROM THE WORKSHEET 'Listing Duration'</t>
  </si>
  <si>
    <t>OUTPUT VALUES FOR FIELDWORK</t>
  </si>
  <si>
    <t>Number of Fieldwork staff Required:</t>
  </si>
  <si>
    <r>
      <t>Supervisors</t>
    </r>
    <r>
      <rPr>
        <vertAlign val="superscript"/>
        <sz val="10"/>
        <rFont val="Arial"/>
        <family val="2"/>
      </rPr>
      <t>12</t>
    </r>
  </si>
  <si>
    <t>Number of listing teams</t>
  </si>
  <si>
    <t>Listers</t>
  </si>
  <si>
    <t>Mappers</t>
  </si>
  <si>
    <t>Duration in weeks</t>
  </si>
  <si>
    <t>Total</t>
  </si>
  <si>
    <t xml:space="preserve">     1 week = 6 working days + 1 rest</t>
  </si>
  <si>
    <r>
      <t>Total + 10 %</t>
    </r>
    <r>
      <rPr>
        <vertAlign val="superscript"/>
        <sz val="10"/>
        <rFont val="Arial"/>
        <family val="2"/>
      </rPr>
      <t>13</t>
    </r>
    <r>
      <rPr>
        <i/>
        <sz val="10"/>
        <rFont val="Arial"/>
        <family val="2"/>
      </rPr>
      <t xml:space="preserve"> extra for selection of best performing/replacement</t>
    </r>
  </si>
  <si>
    <t>OUTPUT VALUES FOR TRAINING</t>
  </si>
  <si>
    <t>Central office staff</t>
  </si>
  <si>
    <t>Supervisors</t>
  </si>
  <si>
    <r>
      <t>Listing Editors</t>
    </r>
    <r>
      <rPr>
        <vertAlign val="superscript"/>
        <sz val="10"/>
        <rFont val="Arial"/>
        <family val="2"/>
      </rPr>
      <t>10</t>
    </r>
  </si>
  <si>
    <r>
      <t>Mapping Editors/Administrators</t>
    </r>
    <r>
      <rPr>
        <vertAlign val="superscript"/>
        <sz val="10"/>
        <rFont val="Arial"/>
        <family val="2"/>
      </rPr>
      <t>11</t>
    </r>
  </si>
  <si>
    <r>
      <t>10 %</t>
    </r>
    <r>
      <rPr>
        <vertAlign val="superscript"/>
        <sz val="10"/>
        <rFont val="Arial"/>
        <family val="2"/>
      </rPr>
      <t>13</t>
    </r>
    <r>
      <rPr>
        <i/>
        <sz val="10"/>
        <rFont val="Arial"/>
        <family val="2"/>
      </rPr>
      <t xml:space="preserve"> extra for selection of best performing/replacement</t>
    </r>
  </si>
  <si>
    <t>Listing Editors</t>
  </si>
  <si>
    <t>Mapping Editors/Administrators</t>
  </si>
  <si>
    <r>
      <rPr>
        <vertAlign val="superscript"/>
        <sz val="8"/>
        <rFont val="Arial"/>
        <family val="2"/>
      </rPr>
      <t>10</t>
    </r>
    <r>
      <rPr>
        <sz val="8"/>
        <rFont val="Arial"/>
        <family val="2"/>
      </rPr>
      <t xml:space="preserve"> The Listing Editors manage day-to-day edits on listing data received from the field and communicate findings with the survey management team.</t>
    </r>
  </si>
  <si>
    <r>
      <t>Total to train</t>
    </r>
    <r>
      <rPr>
        <vertAlign val="superscript"/>
        <sz val="10"/>
        <rFont val="Arial"/>
        <family val="2"/>
      </rPr>
      <t>14</t>
    </r>
    <r>
      <rPr>
        <b/>
        <sz val="10"/>
        <rFont val="Arial"/>
        <family val="2"/>
      </rPr>
      <t xml:space="preserve"> for listing and mapping</t>
    </r>
  </si>
  <si>
    <r>
      <rPr>
        <vertAlign val="superscript"/>
        <sz val="8"/>
        <rFont val="Arial"/>
        <family val="2"/>
      </rPr>
      <t xml:space="preserve">11 </t>
    </r>
    <r>
      <rPr>
        <sz val="8"/>
        <rFont val="Arial"/>
        <family val="2"/>
      </rPr>
      <t>Similarly, the Mapping Editors or Administrators manage and compile maps received from the field.</t>
    </r>
  </si>
  <si>
    <r>
      <rPr>
        <vertAlign val="superscript"/>
        <sz val="8"/>
        <rFont val="Arial"/>
        <family val="2"/>
      </rPr>
      <t xml:space="preserve">12 </t>
    </r>
    <r>
      <rPr>
        <sz val="8"/>
        <rFont val="Arial"/>
        <family val="2"/>
      </rPr>
      <t>A Supervisor is expected to supervise the work of 3 teams.</t>
    </r>
  </si>
  <si>
    <r>
      <rPr>
        <vertAlign val="superscript"/>
        <sz val="8"/>
        <rFont val="Arial"/>
        <family val="2"/>
      </rPr>
      <t xml:space="preserve">13 </t>
    </r>
    <r>
      <rPr>
        <sz val="8"/>
        <rFont val="Arial"/>
        <family val="2"/>
      </rPr>
      <t>Depending on experience with drop-outs and capacity, the number of extra trainees can be increased, but should not be reduced.</t>
    </r>
  </si>
  <si>
    <r>
      <rPr>
        <vertAlign val="superscript"/>
        <sz val="8"/>
        <rFont val="Arial"/>
        <family val="2"/>
      </rPr>
      <t>14</t>
    </r>
    <r>
      <rPr>
        <sz val="8"/>
        <rFont val="Arial"/>
        <family val="2"/>
      </rPr>
      <t xml:space="preserve"> Training facilities should include 1 large room for plenary sessions and 2 smaller classrooms for split sessions for listers and mappers.</t>
    </r>
  </si>
  <si>
    <t>Template for calculating total number of teams and fieldwork staff required for fieldwork and training</t>
  </si>
  <si>
    <t xml:space="preserve">Enter values from the MICS survey plan into the input value table (requires input on fieldwork duration). The corresponding estimates of fieldwork staff requirement and training participants will be shown in the output value table.  </t>
  </si>
  <si>
    <t>Number of households</t>
  </si>
  <si>
    <t xml:space="preserve">Duration of fieldwork in working days </t>
  </si>
  <si>
    <t>Number of households per cluster</t>
  </si>
  <si>
    <t>Number of total interviews per day</t>
  </si>
  <si>
    <r>
      <t>Total duration of the fieldwork in days</t>
    </r>
    <r>
      <rPr>
        <i/>
        <sz val="8"/>
        <rFont val="Arial"/>
        <family val="2"/>
      </rPr>
      <t xml:space="preserve"> (output from 'Fieldwork Duration')</t>
    </r>
  </si>
  <si>
    <r>
      <t xml:space="preserve">Duration of fieldwork in weeks
     </t>
    </r>
    <r>
      <rPr>
        <i/>
        <sz val="10"/>
        <rFont val="Arial"/>
        <family val="2"/>
      </rPr>
      <t>1 week = 5 working days + 1 rest &amp; 1 travel day</t>
    </r>
    <r>
      <rPr>
        <vertAlign val="superscript"/>
        <sz val="10"/>
        <rFont val="Arial"/>
        <family val="2"/>
      </rPr>
      <t>15</t>
    </r>
  </si>
  <si>
    <r>
      <t>Number of fieldwork teams required</t>
    </r>
    <r>
      <rPr>
        <sz val="8"/>
        <rFont val="Arial"/>
        <family val="2"/>
      </rPr>
      <t xml:space="preserve"> (Calculated to check the consistency with the input from 'Calculating Fieldwork Duration' worksheet)</t>
    </r>
  </si>
  <si>
    <t>Number of visited households per day per interviewer</t>
  </si>
  <si>
    <t xml:space="preserve">Number of interviewers per team </t>
  </si>
  <si>
    <t>Interviewers</t>
  </si>
  <si>
    <t>Measurers</t>
  </si>
  <si>
    <t>Total + 10 % extra for selection of best performing/replacement</t>
  </si>
  <si>
    <r>
      <t>Secondary Editors</t>
    </r>
    <r>
      <rPr>
        <vertAlign val="superscript"/>
        <sz val="10"/>
        <rFont val="Arial"/>
        <family val="2"/>
      </rPr>
      <t>16</t>
    </r>
  </si>
  <si>
    <r>
      <rPr>
        <vertAlign val="superscript"/>
        <sz val="8"/>
        <rFont val="Arial"/>
        <family val="2"/>
      </rPr>
      <t>15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follows a different pattern, i.e. without such base locations. This would be the case</t>
    </r>
    <r>
      <rPr>
        <sz val="8"/>
        <rFont val="Arial"/>
        <family val="2"/>
        <charset val="238"/>
      </rPr>
      <t xml:space="preserve"> if l</t>
    </r>
    <r>
      <rPr>
        <sz val="8"/>
        <rFont val="Arial"/>
        <family val="2"/>
      </rPr>
      <t>ong distances between clusters.</t>
    </r>
  </si>
  <si>
    <t>10 % extra for selection of best performing/replacement</t>
  </si>
  <si>
    <t>Secondary Editors</t>
  </si>
  <si>
    <r>
      <t>Total to train</t>
    </r>
    <r>
      <rPr>
        <b/>
        <vertAlign val="superscript"/>
        <sz val="10"/>
        <rFont val="Arial"/>
        <family val="2"/>
      </rPr>
      <t>17</t>
    </r>
    <r>
      <rPr>
        <b/>
        <sz val="10"/>
        <rFont val="Arial"/>
        <family val="2"/>
      </rPr>
      <t xml:space="preserve"> for fieldwork</t>
    </r>
  </si>
  <si>
    <r>
      <rPr>
        <vertAlign val="superscript"/>
        <sz val="8"/>
        <rFont val="Arial"/>
        <family val="2"/>
      </rPr>
      <t xml:space="preserve">16 </t>
    </r>
    <r>
      <rPr>
        <sz val="8"/>
        <rFont val="Arial"/>
        <family val="2"/>
      </rPr>
      <t>MICS recommends that data processing personnel are also familiarized with questionnaires during the main fieldworker training. Secondary Editors should also be included in the total number for the main fieldwork training.</t>
    </r>
  </si>
  <si>
    <r>
      <rPr>
        <vertAlign val="superscript"/>
        <sz val="8"/>
        <rFont val="Arial"/>
        <family val="2"/>
      </rPr>
      <t>17</t>
    </r>
    <r>
      <rPr>
        <sz val="8"/>
        <rFont val="Arial"/>
        <family val="2"/>
      </rPr>
      <t xml:space="preserve"> Training facilities should include 1 large room for plenary sessions and smaller classrooms for smaller, interactive sessions, for 30-40 participants per room, if capacity and number of trainers allow for simultaneous sessions. More trainees per room can reduce quality of training.</t>
    </r>
  </si>
  <si>
    <t>Template for calculating supply requirements</t>
  </si>
  <si>
    <t>No value input required.</t>
  </si>
  <si>
    <r>
      <t>Measuring Boards</t>
    </r>
    <r>
      <rPr>
        <vertAlign val="superscript"/>
        <sz val="10"/>
        <rFont val="Arial"/>
        <family val="2"/>
      </rPr>
      <t>18</t>
    </r>
  </si>
  <si>
    <r>
      <t>Scales</t>
    </r>
    <r>
      <rPr>
        <vertAlign val="superscript"/>
        <sz val="10"/>
        <rFont val="Arial"/>
        <family val="2"/>
      </rPr>
      <t>18</t>
    </r>
  </si>
  <si>
    <r>
      <t>Salt Test Kits</t>
    </r>
    <r>
      <rPr>
        <vertAlign val="superscript"/>
        <sz val="10"/>
        <rFont val="Arial"/>
        <family val="2"/>
      </rPr>
      <t>19</t>
    </r>
  </si>
  <si>
    <r>
      <t>Tablet Computers</t>
    </r>
    <r>
      <rPr>
        <vertAlign val="superscript"/>
        <sz val="10"/>
        <rFont val="Arial"/>
        <family val="2"/>
      </rPr>
      <t>20</t>
    </r>
    <r>
      <rPr>
        <sz val="10"/>
        <rFont val="Arial"/>
        <family val="2"/>
      </rPr>
      <t xml:space="preserve"> - see additional sheet</t>
    </r>
  </si>
  <si>
    <r>
      <t xml:space="preserve">Water Quality Testing Equipment </t>
    </r>
    <r>
      <rPr>
        <vertAlign val="superscript"/>
        <sz val="10"/>
        <rFont val="Arial"/>
        <family val="2"/>
      </rPr>
      <t>21</t>
    </r>
    <r>
      <rPr>
        <sz val="10"/>
        <rFont val="Arial"/>
        <family val="2"/>
      </rPr>
      <t xml:space="preserve"> - See additional sheet</t>
    </r>
  </si>
  <si>
    <r>
      <rPr>
        <vertAlign val="superscript"/>
        <sz val="8"/>
        <rFont val="Arial"/>
        <family val="2"/>
      </rPr>
      <t>18</t>
    </r>
    <r>
      <rPr>
        <sz val="8"/>
        <rFont val="Arial"/>
        <family val="2"/>
      </rPr>
      <t xml:space="preserve"> Number of Measuring Boards and Scales are calculated as 2 per team (one back-up). The number of back-ups can be reduced if teams have easy access to replacements from a central location. Hand sanitiser and a mild cleaning agent is also recommended for use for anthropometric measurements and equipment.</t>
    </r>
  </si>
  <si>
    <r>
      <rPr>
        <vertAlign val="superscript"/>
        <sz val="8"/>
        <rFont val="Arial"/>
        <family val="2"/>
      </rPr>
      <t>19</t>
    </r>
    <r>
      <rPr>
        <sz val="8"/>
        <rFont val="Arial"/>
        <family val="2"/>
      </rPr>
      <t xml:space="preserve"> Number of Salt Test Kits is based on 50 households covered per kit, plus 2 extra per interviewer, and 1 per participant in fieldwork training. Add to cover pretest requirements. If salt has alkaline, a second test is often needed. Check this from previous surveys and subject matter experts, as more kits may be needed. If necessary to test salt for both iodate and iodide, additional test kits need to be added. This template only accounts for one type of test.</t>
    </r>
  </si>
  <si>
    <r>
      <rPr>
        <vertAlign val="superscript"/>
        <sz val="8"/>
        <rFont val="Arial"/>
        <family val="2"/>
      </rPr>
      <t>20</t>
    </r>
    <r>
      <rPr>
        <sz val="8"/>
        <rFont val="Arial"/>
        <family val="2"/>
      </rPr>
      <t xml:space="preserve"> One tablet per supervisor and interviewer plus one additional per team. An (additional) extra tablet per team is recommended if number of interviewers per team is higher than 4. The number includes 5 additional tablets for survey managers and monitoring staff.
If GPS readings are included in the survey, investigate if tablets can do GPS readings adequately to capture cluster location. If not, each team should be equipped with two GPS units.</t>
    </r>
  </si>
  <si>
    <r>
      <rPr>
        <vertAlign val="superscript"/>
        <sz val="8"/>
        <rFont val="Arial"/>
        <family val="2"/>
      </rPr>
      <t>21</t>
    </r>
    <r>
      <rPr>
        <sz val="8"/>
        <rFont val="Arial"/>
        <family val="2"/>
      </rPr>
      <t xml:space="preserve"> Each team should be equipped with one water quality testing bag with hardware items specified in protocol. The number of bags here includes an additional 10% as recommended. Teams should carry enough consumables and additional items to perform their assigned number of samples, including an additional 25%.</t>
    </r>
  </si>
  <si>
    <t>Template for calculating tablet accessories</t>
  </si>
  <si>
    <t>Tablet Computers</t>
  </si>
  <si>
    <t>Tablet Cases</t>
  </si>
  <si>
    <t>Tablet screen protectors</t>
  </si>
  <si>
    <t>SD Cards</t>
  </si>
  <si>
    <r>
      <t>Back-up power supplies/Power Banks</t>
    </r>
    <r>
      <rPr>
        <vertAlign val="superscript"/>
        <sz val="10"/>
        <rFont val="Arial"/>
        <family val="2"/>
      </rPr>
      <t>22</t>
    </r>
  </si>
  <si>
    <r>
      <t>Styluses</t>
    </r>
    <r>
      <rPr>
        <vertAlign val="superscript"/>
        <sz val="10"/>
        <rFont val="Arial"/>
        <family val="2"/>
      </rPr>
      <t>23</t>
    </r>
  </si>
  <si>
    <r>
      <t>Vehicle Charger</t>
    </r>
    <r>
      <rPr>
        <vertAlign val="superscript"/>
        <sz val="10"/>
        <rFont val="Arial"/>
        <family val="2"/>
      </rPr>
      <t>24</t>
    </r>
  </si>
  <si>
    <r>
      <rPr>
        <vertAlign val="superscript"/>
        <sz val="8"/>
        <rFont val="Arial"/>
        <family val="2"/>
      </rPr>
      <t xml:space="preserve">22 </t>
    </r>
    <r>
      <rPr>
        <sz val="8"/>
        <rFont val="Arial"/>
        <family val="2"/>
      </rPr>
      <t>Two back-up power supplies per team - one should be able to fully charge two tablets</t>
    </r>
  </si>
  <si>
    <r>
      <rPr>
        <vertAlign val="superscript"/>
        <sz val="8"/>
        <rFont val="Arial"/>
        <family val="2"/>
      </rPr>
      <t xml:space="preserve">23 </t>
    </r>
    <r>
      <rPr>
        <sz val="8"/>
        <rFont val="Arial"/>
        <family val="2"/>
      </rPr>
      <t>One stylus per tablet + two additional per team. Note that some tablets include stylus.</t>
    </r>
  </si>
  <si>
    <r>
      <rPr>
        <vertAlign val="superscript"/>
        <sz val="8"/>
        <rFont val="Arial"/>
        <family val="2"/>
      </rPr>
      <t xml:space="preserve">24 </t>
    </r>
    <r>
      <rPr>
        <sz val="8"/>
        <rFont val="Arial"/>
        <family val="2"/>
      </rPr>
      <t>One vehicle charger per team</t>
    </r>
  </si>
  <si>
    <t>Template for calculating water quality testing supply requirements</t>
  </si>
  <si>
    <t>Enter values from the MICS survey plan into the input value table (requires additional input on 'Fieldwork Duration' spreadsheet). Also confirm values in red in the output value table. The corresponding estimates of supplies needed for water quality testing will be shown in the output value table.</t>
  </si>
  <si>
    <t>Total Units</t>
  </si>
  <si>
    <t>Units per Team</t>
  </si>
  <si>
    <r>
      <t>Cost/pack</t>
    </r>
    <r>
      <rPr>
        <vertAlign val="superscript"/>
        <sz val="10"/>
        <rFont val="Arial"/>
        <family val="2"/>
      </rPr>
      <t>26</t>
    </r>
  </si>
  <si>
    <t>Units/pack</t>
  </si>
  <si>
    <t>Packs needed</t>
  </si>
  <si>
    <t>Total Cost</t>
  </si>
  <si>
    <t>Hardware</t>
  </si>
  <si>
    <t>- an additional 10% is added to Total Units for replacement needs</t>
  </si>
  <si>
    <t>Number of fieldwork teams</t>
  </si>
  <si>
    <t>Manifolds</t>
  </si>
  <si>
    <t>Incubation belts</t>
  </si>
  <si>
    <t>Syringes, 100 mL</t>
  </si>
  <si>
    <t>Forceps</t>
  </si>
  <si>
    <t>Hardware sub-total</t>
  </si>
  <si>
    <t>Consumables</t>
  </si>
  <si>
    <t>Number of household water quality samples per cluster</t>
  </si>
  <si>
    <t>- an additional 25% is added to Total Units for training and wastage</t>
  </si>
  <si>
    <t>Funnel and membrane</t>
  </si>
  <si>
    <t>Number of source water quality samples per cluster</t>
  </si>
  <si>
    <t>CompactDry plate</t>
  </si>
  <si>
    <t>Disposable syringes, 1 mL</t>
  </si>
  <si>
    <t>Number of blank tests per cluster</t>
  </si>
  <si>
    <t>Alcohol wipes</t>
  </si>
  <si>
    <t>Sample collection bags</t>
  </si>
  <si>
    <t>Chlorine tablets 8.5 mg</t>
  </si>
  <si>
    <t>Consumables sub-total</t>
  </si>
  <si>
    <r>
      <t xml:space="preserve">Freight </t>
    </r>
    <r>
      <rPr>
        <sz val="10"/>
        <rFont val="Arial"/>
        <family val="2"/>
      </rPr>
      <t>(10%)</t>
    </r>
  </si>
  <si>
    <r>
      <t>Additional Items</t>
    </r>
    <r>
      <rPr>
        <vertAlign val="superscript"/>
        <sz val="11"/>
        <color theme="1"/>
        <rFont val="Calibri"/>
        <family val="2"/>
        <scheme val="minor"/>
      </rPr>
      <t>25</t>
    </r>
  </si>
  <si>
    <r>
      <rPr>
        <vertAlign val="superscript"/>
        <sz val="8"/>
        <rFont val="Arial"/>
        <family val="2"/>
      </rPr>
      <t>25</t>
    </r>
    <r>
      <rPr>
        <sz val="8"/>
        <rFont val="Arial"/>
        <family val="2"/>
      </rPr>
      <t xml:space="preserve"> A dedicated water testing bag per team is needed for the water testing equipment and it is advisable to also procure a large bag for storing consumables in the vehicle. Bottled water known to be of high quality, for example distilled water or a reliable brand of mineral water is needed for the "blank test". Additional items required for water quality testing are: hand sanitiser, trash bags, permanent marker pens. Paper towels are also recommended to clean any spills. The total cost of these items are here estimated at USD 100 per kit, but change if estimates differ.</t>
    </r>
  </si>
  <si>
    <t>Total (USD):</t>
  </si>
  <si>
    <r>
      <rPr>
        <vertAlign val="superscript"/>
        <sz val="8"/>
        <rFont val="Arial"/>
        <family val="2"/>
      </rPr>
      <t xml:space="preserve">26 </t>
    </r>
    <r>
      <rPr>
        <sz val="8"/>
        <rFont val="Arial"/>
        <family val="2"/>
      </rPr>
      <t>Please note that the cost/pack values should be updated for a better estimate. With fluctuations in EUR/USD rates there are bound to be significant changes. The current price is available from the UNICEF Supply catalogue, using item numbers provided in the MICS6 Supply Procurement Instructions, available here: http://mics.unicef.org/tools#survey-design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</si>
</sst>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dd/mm/yyyy;@"/>
    <numFmt numFmtId="165" formatCode="_-&quot;$&quot;* #,##0.00_-;\-&quot;$&quot;* #,##0.00_-;_-&quot;$&quot;* &quot;-&quot;??_-;_-@_-"/>
    <numFmt numFmtId="166" formatCode="_(* #,##0_);_(* \(#,##0\);_(* &quot;-&quot;??_);_(@_)"/>
    <numFmt numFmtId="167" formatCode="#,##0.0"/>
    <numFmt numFmtId="168" formatCode="[$-409]d/mmm/yyyy;@"/>
  </numFmts>
  <fonts count="20">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vertAlign val="superscript"/>
      <sz val="10"/>
      <name val="Arial"/>
      <family val="2"/>
    </font>
    <font>
      <i/>
      <vertAlign val="superscript"/>
      <sz val="10"/>
      <name val="Arial"/>
      <family val="2"/>
    </font>
    <font>
      <b/>
      <sz val="11"/>
      <color theme="1"/>
      <name val="Calibri"/>
      <family val="2"/>
      <scheme val="minor"/>
    </font>
    <font>
      <vertAlign val="superscript"/>
      <sz val="11"/>
      <color theme="1"/>
      <name val="Calibri"/>
      <family val="2"/>
      <scheme val="minor"/>
    </font>
    <font>
      <i/>
      <sz val="8"/>
      <name val="Arial"/>
      <family val="2"/>
      <charset val="238"/>
    </font>
    <font>
      <sz val="10"/>
      <name val="Arial"/>
      <family val="2"/>
      <charset val="238"/>
    </font>
    <font>
      <sz val="8"/>
      <name val="Arial"/>
      <family val="2"/>
      <charset val="238"/>
    </font>
    <font>
      <sz val="10"/>
      <color rgb="FFFF0000"/>
      <name val="Arial"/>
      <family val="2"/>
    </font>
  </fonts>
  <fills count="8">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indexed="64"/>
      </top>
      <bottom style="medium">
        <color indexed="64"/>
      </bottom>
      <diagonal/>
    </border>
    <border>
      <left/>
      <right/>
      <top style="medium">
        <color auto="1"/>
      </top>
      <bottom/>
      <diagonal/>
    </border>
    <border>
      <left/>
      <right/>
      <top/>
      <bottom style="medium">
        <color auto="1"/>
      </bottom>
      <diagonal/>
    </border>
  </borders>
  <cellStyleXfs count="8">
    <xf numFmtId="0" fontId="0" fillId="0" borderId="0"/>
    <xf numFmtId="0" fontId="3"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0" fontId="1" fillId="0" borderId="0"/>
  </cellStyleXfs>
  <cellXfs count="21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3" fillId="0" borderId="2" xfId="0" applyFont="1" applyBorder="1"/>
    <xf numFmtId="0" fontId="3" fillId="0" borderId="2" xfId="0" applyFont="1" applyFill="1" applyBorder="1"/>
    <xf numFmtId="1" fontId="0" fillId="0" borderId="0" xfId="0" applyNumberFormat="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2" xfId="0" applyFont="1" applyFill="1" applyBorder="1" applyAlignment="1">
      <alignment horizontal="right"/>
    </xf>
    <xf numFmtId="0" fontId="4" fillId="0" borderId="3" xfId="0" applyFont="1" applyBorder="1" applyAlignment="1">
      <alignment horizontal="right"/>
    </xf>
    <xf numFmtId="0" fontId="5" fillId="0" borderId="2" xfId="0" applyFont="1" applyBorder="1" applyAlignment="1">
      <alignment horizontal="center"/>
    </xf>
    <xf numFmtId="0" fontId="3" fillId="0" borderId="2" xfId="0" applyFont="1" applyBorder="1" applyAlignment="1">
      <alignment wrapText="1"/>
    </xf>
    <xf numFmtId="0" fontId="4" fillId="0" borderId="2" xfId="0" applyFont="1" applyFill="1" applyBorder="1" applyAlignment="1">
      <alignment horizontal="left"/>
    </xf>
    <xf numFmtId="0" fontId="4"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3" fillId="0" borderId="4" xfId="0" applyFont="1" applyFill="1" applyBorder="1" applyAlignment="1">
      <alignment horizontal="center"/>
    </xf>
    <xf numFmtId="0" fontId="5" fillId="0" borderId="4" xfId="0" applyFont="1" applyFill="1" applyBorder="1" applyAlignment="1">
      <alignment horizontal="right"/>
    </xf>
    <xf numFmtId="0" fontId="3" fillId="0" borderId="2" xfId="0" applyFont="1" applyBorder="1" applyAlignment="1">
      <alignment horizontal="left"/>
    </xf>
    <xf numFmtId="0" fontId="4" fillId="0" borderId="4" xfId="0" applyFont="1" applyBorder="1" applyAlignment="1">
      <alignment horizontal="right"/>
    </xf>
    <xf numFmtId="0" fontId="5"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3" fillId="0" borderId="3" xfId="0" applyFont="1" applyBorder="1" applyAlignment="1">
      <alignment horizontal="right"/>
    </xf>
    <xf numFmtId="0" fontId="0" fillId="3" borderId="2" xfId="0" applyFill="1" applyBorder="1" applyAlignment="1">
      <alignment horizontal="center"/>
    </xf>
    <xf numFmtId="1" fontId="5" fillId="4" borderId="2" xfId="0" applyNumberFormat="1" applyFont="1" applyFill="1" applyBorder="1" applyAlignment="1" applyProtection="1">
      <alignment horizontal="center"/>
      <protection locked="0"/>
    </xf>
    <xf numFmtId="0" fontId="0" fillId="0" borderId="1" xfId="0" applyBorder="1"/>
    <xf numFmtId="0" fontId="0" fillId="0" borderId="7" xfId="0" applyBorder="1" applyAlignment="1">
      <alignment horizontal="center"/>
    </xf>
    <xf numFmtId="0" fontId="0" fillId="0" borderId="15" xfId="0" applyBorder="1"/>
    <xf numFmtId="0" fontId="3" fillId="0" borderId="1" xfId="0" applyFont="1" applyBorder="1" applyAlignment="1">
      <alignment horizontal="left"/>
    </xf>
    <xf numFmtId="0" fontId="3" fillId="0" borderId="5" xfId="0" applyFont="1" applyBorder="1"/>
    <xf numFmtId="0" fontId="3" fillId="0" borderId="4" xfId="0" applyFont="1" applyBorder="1" applyAlignment="1">
      <alignment horizontal="center"/>
    </xf>
    <xf numFmtId="0" fontId="0" fillId="0" borderId="6" xfId="0" applyFill="1" applyBorder="1" applyAlignment="1">
      <alignment horizontal="center"/>
    </xf>
    <xf numFmtId="3" fontId="5" fillId="4" borderId="7" xfId="0" applyNumberFormat="1" applyFont="1" applyFill="1" applyBorder="1" applyAlignment="1" applyProtection="1">
      <alignment horizontal="center"/>
    </xf>
    <xf numFmtId="1" fontId="5"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1" fontId="4" fillId="2" borderId="3" xfId="0" applyNumberFormat="1" applyFont="1" applyFill="1" applyBorder="1" applyAlignment="1">
      <alignment horizontal="center"/>
    </xf>
    <xf numFmtId="1" fontId="5"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 fontId="5"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xf numFmtId="3" fontId="0" fillId="2" borderId="2" xfId="0" applyNumberFormat="1" applyFill="1" applyBorder="1" applyAlignment="1">
      <alignment horizontal="center" vertical="center"/>
    </xf>
    <xf numFmtId="0" fontId="3" fillId="0" borderId="2" xfId="0" applyFont="1"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3" fillId="0" borderId="2" xfId="0" applyFont="1" applyBorder="1" applyAlignment="1">
      <alignment vertical="center"/>
    </xf>
    <xf numFmtId="1" fontId="0" fillId="0" borderId="2" xfId="0" applyNumberFormat="1" applyBorder="1" applyAlignment="1" applyProtection="1">
      <alignment horizontal="center" vertical="center"/>
      <protection locked="0"/>
    </xf>
    <xf numFmtId="1" fontId="0" fillId="0" borderId="2" xfId="0" applyNumberFormat="1" applyFill="1" applyBorder="1" applyAlignment="1" applyProtection="1">
      <alignment horizontal="center" vertical="center"/>
      <protection locked="0"/>
    </xf>
    <xf numFmtId="1" fontId="0" fillId="0" borderId="2" xfId="0" applyNumberFormat="1" applyFill="1" applyBorder="1" applyAlignment="1">
      <alignment horizontal="center" vertical="center"/>
    </xf>
    <xf numFmtId="3" fontId="5" fillId="4" borderId="7"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 fontId="5" fillId="4" borderId="7" xfId="0" applyNumberFormat="1"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3" fillId="0" borderId="1" xfId="0" applyFont="1" applyFill="1" applyBorder="1" applyAlignment="1">
      <alignment horizontal="right" vertical="center"/>
    </xf>
    <xf numFmtId="0" fontId="0" fillId="0" borderId="16" xfId="0" applyBorder="1" applyAlignment="1" applyProtection="1">
      <alignment horizontal="center" vertical="center"/>
      <protection locked="0"/>
    </xf>
    <xf numFmtId="1" fontId="4" fillId="2" borderId="3" xfId="0" applyNumberFormat="1" applyFont="1" applyFill="1" applyBorder="1" applyAlignment="1">
      <alignment horizontal="center" vertical="center"/>
    </xf>
    <xf numFmtId="0" fontId="5" fillId="0" borderId="4" xfId="0" applyFont="1" applyFill="1" applyBorder="1" applyAlignment="1">
      <alignment horizontal="right" vertical="center"/>
    </xf>
    <xf numFmtId="1" fontId="5" fillId="2" borderId="6" xfId="0" applyNumberFormat="1" applyFont="1" applyFill="1" applyBorder="1" applyAlignment="1">
      <alignment horizontal="center" vertical="center"/>
    </xf>
    <xf numFmtId="0" fontId="0" fillId="0" borderId="19" xfId="0" applyBorder="1" applyAlignment="1">
      <alignment horizontal="center"/>
    </xf>
    <xf numFmtId="0" fontId="5" fillId="0" borderId="3" xfId="0" applyFont="1" applyBorder="1" applyAlignment="1">
      <alignment vertical="center"/>
    </xf>
    <xf numFmtId="0" fontId="3" fillId="0" borderId="1" xfId="0" applyFont="1" applyBorder="1" applyAlignment="1">
      <alignment horizontal="right" vertical="center"/>
    </xf>
    <xf numFmtId="0" fontId="0" fillId="0" borderId="20" xfId="0" applyBorder="1"/>
    <xf numFmtId="0" fontId="4" fillId="0" borderId="1" xfId="0" applyFont="1" applyFill="1" applyBorder="1" applyAlignment="1">
      <alignment horizontal="left" vertical="center"/>
    </xf>
    <xf numFmtId="0" fontId="4" fillId="0" borderId="15" xfId="0" applyFont="1" applyBorder="1" applyAlignment="1">
      <alignment horizontal="right" vertical="center"/>
    </xf>
    <xf numFmtId="3" fontId="0" fillId="0" borderId="2" xfId="0" applyNumberFormat="1" applyFill="1" applyBorder="1" applyAlignment="1" applyProtection="1">
      <alignment horizontal="center"/>
      <protection locked="0"/>
    </xf>
    <xf numFmtId="0" fontId="3" fillId="0" borderId="3" xfId="0" applyFont="1" applyBorder="1" applyAlignment="1">
      <alignment vertical="center"/>
    </xf>
    <xf numFmtId="0" fontId="0" fillId="0" borderId="6" xfId="0" applyFont="1" applyFill="1" applyBorder="1" applyAlignment="1">
      <alignment horizontal="center"/>
    </xf>
    <xf numFmtId="0" fontId="3" fillId="0" borderId="1" xfId="0" applyFont="1" applyBorder="1"/>
    <xf numFmtId="0" fontId="0" fillId="0" borderId="0" xfId="0" applyFill="1"/>
    <xf numFmtId="0" fontId="5" fillId="0" borderId="0" xfId="0" applyFont="1" applyFill="1"/>
    <xf numFmtId="3" fontId="5" fillId="5" borderId="2" xfId="0" applyNumberFormat="1"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1" fontId="5" fillId="5" borderId="2" xfId="0" applyNumberFormat="1" applyFont="1" applyFill="1" applyBorder="1" applyAlignment="1" applyProtection="1">
      <alignment horizontal="center" vertical="center"/>
      <protection locked="0"/>
    </xf>
    <xf numFmtId="1" fontId="5" fillId="0" borderId="2" xfId="0" applyNumberFormat="1" applyFont="1" applyBorder="1" applyAlignment="1" applyProtection="1">
      <alignment horizontal="center"/>
      <protection locked="0"/>
    </xf>
    <xf numFmtId="1" fontId="5" fillId="5"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3" fontId="0" fillId="0" borderId="2" xfId="0" applyNumberFormat="1" applyBorder="1" applyAlignment="1">
      <alignment horizontal="center"/>
    </xf>
    <xf numFmtId="3" fontId="0" fillId="0" borderId="2" xfId="0" applyNumberFormat="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2" borderId="2" xfId="0" applyNumberFormat="1" applyFill="1" applyBorder="1" applyAlignment="1" applyProtection="1">
      <alignment horizontal="center"/>
      <protection locked="0"/>
    </xf>
    <xf numFmtId="3" fontId="3" fillId="2" borderId="2" xfId="0" applyNumberFormat="1" applyFont="1" applyFill="1" applyBorder="1" applyAlignment="1" applyProtection="1">
      <alignment horizontal="center"/>
      <protection locked="0"/>
    </xf>
    <xf numFmtId="3" fontId="3" fillId="0" borderId="2" xfId="0" applyNumberFormat="1" applyFont="1" applyFill="1" applyBorder="1" applyAlignment="1" applyProtection="1">
      <alignment horizontal="center"/>
      <protection locked="0"/>
    </xf>
    <xf numFmtId="3" fontId="0" fillId="0" borderId="3"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vertical="center"/>
    </xf>
    <xf numFmtId="3" fontId="0" fillId="0" borderId="16" xfId="0" applyNumberFormat="1" applyBorder="1" applyAlignment="1" applyProtection="1">
      <alignment horizontal="center" vertical="center"/>
      <protection locked="0"/>
    </xf>
    <xf numFmtId="3" fontId="0" fillId="0" borderId="8" xfId="0" applyNumberFormat="1" applyBorder="1" applyAlignment="1">
      <alignment horizontal="center"/>
    </xf>
    <xf numFmtId="3" fontId="0" fillId="3" borderId="2" xfId="0" applyNumberFormat="1" applyFill="1" applyBorder="1" applyAlignment="1">
      <alignment horizontal="center"/>
    </xf>
    <xf numFmtId="3" fontId="0" fillId="0" borderId="3" xfId="0" applyNumberFormat="1" applyBorder="1"/>
    <xf numFmtId="1" fontId="17" fillId="0" borderId="0" xfId="0" applyNumberFormat="1" applyFont="1" applyBorder="1"/>
    <xf numFmtId="1" fontId="0" fillId="0" borderId="2" xfId="0" applyNumberFormat="1" applyFill="1" applyBorder="1" applyAlignment="1">
      <alignment horizontal="center"/>
    </xf>
    <xf numFmtId="164" fontId="3" fillId="0" borderId="2" xfId="0" applyNumberFormat="1" applyFont="1" applyFill="1" applyBorder="1" applyAlignment="1">
      <alignment horizontal="center"/>
    </xf>
    <xf numFmtId="0" fontId="3" fillId="0" borderId="2" xfId="0" applyFont="1" applyFill="1" applyBorder="1" applyAlignment="1">
      <alignment vertical="center" wrapText="1"/>
    </xf>
    <xf numFmtId="0" fontId="5" fillId="0" borderId="2" xfId="0" applyFont="1" applyBorder="1"/>
    <xf numFmtId="1" fontId="5" fillId="7" borderId="2" xfId="0" applyNumberFormat="1" applyFont="1" applyFill="1" applyBorder="1" applyAlignment="1">
      <alignment horizontal="center"/>
    </xf>
    <xf numFmtId="0" fontId="0" fillId="0" borderId="19" xfId="0" applyBorder="1"/>
    <xf numFmtId="0" fontId="3" fillId="0" borderId="0" xfId="0" applyFont="1"/>
    <xf numFmtId="0" fontId="3" fillId="0" borderId="0" xfId="0" applyFont="1" applyFill="1"/>
    <xf numFmtId="0" fontId="3" fillId="0" borderId="0" xfId="0" applyFont="1" applyFill="1" applyBorder="1" applyAlignment="1">
      <alignment horizontal="right"/>
    </xf>
    <xf numFmtId="43" fontId="0" fillId="0" borderId="0" xfId="0" applyNumberFormat="1" applyFill="1" applyBorder="1"/>
    <xf numFmtId="0" fontId="4" fillId="2" borderId="15" xfId="0" applyFont="1" applyFill="1" applyBorder="1" applyAlignment="1">
      <alignment horizontal="right"/>
    </xf>
    <xf numFmtId="166" fontId="4" fillId="2" borderId="16" xfId="0" applyNumberFormat="1" applyFont="1" applyFill="1" applyBorder="1"/>
    <xf numFmtId="0" fontId="3" fillId="0" borderId="6" xfId="0" applyFont="1" applyFill="1" applyBorder="1" applyAlignment="1">
      <alignment horizontal="center"/>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protection locked="0"/>
    </xf>
    <xf numFmtId="0" fontId="3" fillId="0" borderId="3" xfId="0" applyFont="1" applyBorder="1"/>
    <xf numFmtId="168" fontId="0" fillId="2" borderId="3" xfId="0" applyNumberFormat="1" applyFill="1" applyBorder="1" applyAlignment="1">
      <alignment horizontal="center"/>
    </xf>
    <xf numFmtId="168" fontId="0" fillId="3" borderId="2" xfId="0" applyNumberFormat="1" applyFill="1" applyBorder="1" applyAlignment="1" applyProtection="1">
      <alignment horizontal="center" vertical="center"/>
      <protection locked="0"/>
    </xf>
    <xf numFmtId="168" fontId="0" fillId="2" borderId="2" xfId="0" applyNumberFormat="1" applyFill="1" applyBorder="1" applyAlignment="1">
      <alignment horizontal="center" vertical="center"/>
    </xf>
    <xf numFmtId="0" fontId="0" fillId="3" borderId="7" xfId="0" applyFill="1" applyBorder="1" applyAlignment="1">
      <alignment horizontal="center"/>
    </xf>
    <xf numFmtId="0" fontId="0" fillId="0" borderId="16" xfId="0" applyBorder="1" applyAlignment="1">
      <alignment horizontal="center"/>
    </xf>
    <xf numFmtId="2" fontId="0" fillId="0" borderId="0" xfId="0" applyNumberFormat="1"/>
    <xf numFmtId="4" fontId="0" fillId="0" borderId="0" xfId="0" applyNumberFormat="1"/>
    <xf numFmtId="0" fontId="16" fillId="0" borderId="0" xfId="0" applyFont="1" applyAlignment="1"/>
    <xf numFmtId="3" fontId="5" fillId="0" borderId="2" xfId="0" applyNumberFormat="1" applyFont="1" applyBorder="1" applyAlignment="1">
      <alignment horizontal="center"/>
    </xf>
    <xf numFmtId="3" fontId="0" fillId="0" borderId="22" xfId="0" applyNumberFormat="1" applyBorder="1" applyAlignment="1">
      <alignment horizontal="center"/>
    </xf>
    <xf numFmtId="3" fontId="0" fillId="0" borderId="0" xfId="0" applyNumberFormat="1" applyBorder="1" applyAlignment="1">
      <alignment horizontal="center"/>
    </xf>
    <xf numFmtId="3" fontId="0" fillId="6" borderId="0" xfId="0" applyNumberFormat="1" applyFill="1" applyBorder="1" applyAlignment="1">
      <alignment horizontal="center"/>
    </xf>
    <xf numFmtId="3" fontId="5" fillId="0" borderId="0" xfId="0" applyNumberFormat="1" applyFont="1" applyBorder="1" applyAlignment="1">
      <alignment horizontal="center"/>
    </xf>
    <xf numFmtId="3" fontId="0" fillId="0" borderId="23" xfId="0" applyNumberFormat="1" applyBorder="1" applyAlignment="1">
      <alignment horizontal="center"/>
    </xf>
    <xf numFmtId="3" fontId="5" fillId="0" borderId="8" xfId="0" applyNumberFormat="1" applyFont="1" applyBorder="1" applyAlignment="1">
      <alignment horizontal="center"/>
    </xf>
    <xf numFmtId="4" fontId="19" fillId="6" borderId="2" xfId="0" applyNumberFormat="1" applyFont="1" applyFill="1" applyBorder="1" applyAlignment="1">
      <alignment horizontal="center"/>
    </xf>
    <xf numFmtId="4" fontId="5" fillId="0" borderId="2" xfId="0" applyNumberFormat="1" applyFont="1" applyBorder="1" applyAlignment="1">
      <alignment horizontal="center"/>
    </xf>
    <xf numFmtId="4" fontId="0" fillId="0" borderId="2" xfId="0" applyNumberFormat="1" applyBorder="1" applyAlignment="1">
      <alignment horizontal="center"/>
    </xf>
    <xf numFmtId="3" fontId="0" fillId="6" borderId="2" xfId="0" applyNumberFormat="1" applyFill="1" applyBorder="1" applyAlignment="1">
      <alignment horizontal="center"/>
    </xf>
    <xf numFmtId="0" fontId="3" fillId="0" borderId="0" xfId="0" applyFont="1" applyFill="1" applyBorder="1" applyAlignment="1">
      <alignment vertical="center" wrapText="1"/>
    </xf>
    <xf numFmtId="166" fontId="3" fillId="0" borderId="0" xfId="0" applyNumberFormat="1" applyFont="1" applyFill="1" applyBorder="1" applyAlignment="1">
      <alignment vertical="center"/>
    </xf>
    <xf numFmtId="0" fontId="0" fillId="0" borderId="8" xfId="0" applyFill="1" applyBorder="1"/>
    <xf numFmtId="0" fontId="4" fillId="0" borderId="2" xfId="0" applyFont="1" applyFill="1" applyBorder="1"/>
    <xf numFmtId="0" fontId="5" fillId="0" borderId="2" xfId="0" quotePrefix="1" applyFont="1" applyFill="1" applyBorder="1"/>
    <xf numFmtId="0" fontId="3" fillId="0" borderId="2" xfId="0" applyFont="1" applyFill="1" applyBorder="1" applyAlignment="1">
      <alignment horizontal="left" wrapText="1" indent="1"/>
    </xf>
    <xf numFmtId="0" fontId="3" fillId="0" borderId="2" xfId="0" applyFont="1" applyFill="1" applyBorder="1" applyAlignment="1">
      <alignment horizontal="left" indent="1"/>
    </xf>
    <xf numFmtId="0" fontId="1" fillId="0" borderId="2" xfId="7" applyFill="1" applyBorder="1" applyAlignment="1">
      <alignment horizontal="left" vertical="center" indent="1"/>
    </xf>
    <xf numFmtId="0" fontId="5" fillId="0" borderId="2" xfId="0" applyFont="1" applyFill="1" applyBorder="1"/>
    <xf numFmtId="0" fontId="14" fillId="0" borderId="2" xfId="7" applyFont="1" applyFill="1" applyBorder="1" applyAlignment="1">
      <alignment horizontal="left" vertical="center"/>
    </xf>
    <xf numFmtId="0" fontId="0" fillId="0" borderId="3" xfId="0" applyFill="1" applyBorder="1"/>
    <xf numFmtId="3" fontId="19" fillId="0" borderId="2" xfId="0" applyNumberFormat="1" applyFont="1" applyBorder="1" applyAlignment="1">
      <alignment horizontal="center"/>
    </xf>
    <xf numFmtId="0" fontId="10" fillId="0" borderId="0" xfId="0" applyFont="1" applyAlignment="1">
      <alignment horizontal="left"/>
    </xf>
    <xf numFmtId="0" fontId="3" fillId="2" borderId="5" xfId="0" applyFont="1" applyFill="1" applyBorder="1" applyAlignment="1">
      <alignment horizontal="center"/>
    </xf>
    <xf numFmtId="0" fontId="0" fillId="2" borderId="6" xfId="0" applyFill="1" applyBorder="1" applyAlignment="1">
      <alignment horizontal="center"/>
    </xf>
    <xf numFmtId="0" fontId="11" fillId="0" borderId="0" xfId="0" applyFont="1" applyAlignment="1">
      <alignment horizontal="left"/>
    </xf>
    <xf numFmtId="0" fontId="10" fillId="0" borderId="0" xfId="0" applyFont="1" applyAlignment="1">
      <alignment horizontal="left"/>
    </xf>
    <xf numFmtId="0" fontId="16" fillId="0" borderId="0" xfId="0" applyFont="1" applyAlignment="1">
      <alignment horizontal="left" wrapText="1"/>
    </xf>
    <xf numFmtId="0" fontId="0" fillId="0" borderId="0" xfId="0" applyAlignment="1"/>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wrapText="1"/>
    </xf>
    <xf numFmtId="0" fontId="7" fillId="0" borderId="18" xfId="0" applyFont="1" applyBorder="1" applyAlignment="1">
      <alignment horizontal="left" wrapText="1"/>
    </xf>
    <xf numFmtId="0" fontId="7" fillId="0" borderId="14" xfId="0" applyFont="1" applyBorder="1" applyAlignment="1">
      <alignment horizontal="left" wrapText="1"/>
    </xf>
    <xf numFmtId="0" fontId="11" fillId="0" borderId="0" xfId="0" applyFont="1" applyAlignment="1">
      <alignment horizontal="left" wrapText="1"/>
    </xf>
    <xf numFmtId="0" fontId="7" fillId="0" borderId="10"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wrapText="1"/>
    </xf>
    <xf numFmtId="0" fontId="3" fillId="4" borderId="4" xfId="0" applyFont="1" applyFill="1" applyBorder="1" applyAlignment="1">
      <alignment horizontal="center"/>
    </xf>
    <xf numFmtId="0" fontId="8" fillId="0" borderId="13"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4" xfId="0" applyFont="1" applyFill="1" applyBorder="1" applyAlignment="1">
      <alignment horizontal="left" vertical="top"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11" fillId="0" borderId="0" xfId="0" applyFont="1" applyAlignment="1">
      <alignment horizontal="lef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3" fillId="2" borderId="21" xfId="0" applyFont="1" applyFill="1" applyBorder="1" applyAlignment="1">
      <alignment horizontal="center"/>
    </xf>
    <xf numFmtId="0" fontId="3" fillId="2" borderId="6" xfId="0" applyFont="1" applyFill="1" applyBorder="1" applyAlignment="1">
      <alignment horizontal="center"/>
    </xf>
    <xf numFmtId="0" fontId="7" fillId="0" borderId="17" xfId="0" applyFont="1" applyBorder="1" applyAlignment="1">
      <alignment horizontal="left" vertical="top" wrapText="1"/>
    </xf>
  </cellXfs>
  <cellStyles count="8">
    <cellStyle name="Comma 2" xfId="5" xr:uid="{00000000-0005-0000-0000-000000000000}"/>
    <cellStyle name="Comma 3" xfId="3" xr:uid="{00000000-0005-0000-0000-000001000000}"/>
    <cellStyle name="Currency 2" xfId="4" xr:uid="{00000000-0005-0000-0000-000002000000}"/>
    <cellStyle name="Currency 3" xfId="6" xr:uid="{00000000-0005-0000-0000-000003000000}"/>
    <cellStyle name="Normal" xfId="0" builtinId="0"/>
    <cellStyle name="Normal 2" xfId="1" xr:uid="{00000000-0005-0000-0000-000005000000}"/>
    <cellStyle name="Normal 3" xfId="2" xr:uid="{00000000-0005-0000-0000-000006000000}"/>
    <cellStyle name="Normal 3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33"/>
  <sheetViews>
    <sheetView tabSelected="1" workbookViewId="0">
      <selection activeCell="B1" sqref="B1:F1"/>
    </sheetView>
  </sheetViews>
  <sheetFormatPr defaultColWidth="8.7109375" defaultRowHeight="12.75"/>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c r="B1" s="167" t="s">
        <v>0</v>
      </c>
      <c r="C1" s="167"/>
      <c r="D1" s="167"/>
      <c r="E1" s="167"/>
      <c r="F1" s="167"/>
    </row>
    <row r="2" spans="2:34" ht="24.6" customHeight="1">
      <c r="B2" s="168" t="s">
        <v>1</v>
      </c>
      <c r="C2" s="168"/>
      <c r="D2" s="168"/>
      <c r="E2" s="168"/>
      <c r="F2" s="168"/>
    </row>
    <row r="3" spans="2:34" ht="13.5" thickBot="1">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c r="B4" s="170" t="s">
        <v>2</v>
      </c>
      <c r="C4" s="171"/>
      <c r="D4" s="8"/>
      <c r="E4" s="172" t="s">
        <v>3</v>
      </c>
      <c r="F4" s="173"/>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3.5" thickBot="1">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3.5" thickBot="1">
      <c r="B6" s="4" t="s">
        <v>4</v>
      </c>
      <c r="C6" s="27" t="s">
        <v>5</v>
      </c>
      <c r="D6" s="8"/>
      <c r="E6" s="4" t="s">
        <v>6</v>
      </c>
      <c r="F6" s="26" t="s">
        <v>5</v>
      </c>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c r="B8" s="14" t="s">
        <v>7</v>
      </c>
      <c r="C8" s="33">
        <v>12500</v>
      </c>
      <c r="D8" s="8"/>
      <c r="E8" s="15" t="s">
        <v>8</v>
      </c>
      <c r="F8" s="32">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27">
      <c r="B10" s="22" t="s">
        <v>9</v>
      </c>
      <c r="C10" s="59">
        <v>3</v>
      </c>
      <c r="D10" s="8"/>
      <c r="E10" s="69" t="s">
        <v>10</v>
      </c>
      <c r="F10" s="60">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c r="B11" s="2"/>
      <c r="C11" s="35"/>
      <c r="D11" s="8"/>
      <c r="E11" s="5"/>
      <c r="F11" s="36"/>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14.25">
      <c r="B12" s="14" t="s">
        <v>11</v>
      </c>
      <c r="C12" s="34">
        <v>15</v>
      </c>
      <c r="D12" s="8"/>
      <c r="E12" s="14" t="s">
        <v>12</v>
      </c>
      <c r="F12" s="25">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c r="B13" s="2"/>
      <c r="C13" s="35"/>
      <c r="D13" s="8"/>
      <c r="E13" s="2"/>
      <c r="F13" s="3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ht="14.25">
      <c r="B14" s="14" t="s">
        <v>13</v>
      </c>
      <c r="C14" s="34">
        <v>4</v>
      </c>
      <c r="D14" s="8"/>
      <c r="E14" s="23" t="s">
        <v>14</v>
      </c>
      <c r="F14" s="25">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c r="B15" s="2"/>
      <c r="C15" s="35"/>
      <c r="D15" s="8"/>
      <c r="E15" s="24" t="s">
        <v>15</v>
      </c>
      <c r="F15" s="25">
        <f>F14/5</f>
        <v>13.888888888888889</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ht="14.25">
      <c r="B16" s="14" t="s">
        <v>16</v>
      </c>
      <c r="C16" s="34">
        <v>20</v>
      </c>
      <c r="D16" s="8"/>
      <c r="E16" s="21" t="s">
        <v>17</v>
      </c>
      <c r="F16" s="1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c r="B17" s="2"/>
      <c r="C17" s="11"/>
      <c r="D17" s="8"/>
      <c r="E17" s="24" t="s">
        <v>18</v>
      </c>
      <c r="F17" s="25">
        <f>+F15*6</f>
        <v>83.333333333333343</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c r="B18" s="14" t="s">
        <v>19</v>
      </c>
      <c r="C18" s="130">
        <v>42887</v>
      </c>
      <c r="D18" s="8"/>
      <c r="E18" s="15"/>
      <c r="F18" s="117"/>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5" thickBot="1">
      <c r="B19" s="3"/>
      <c r="C19" s="12"/>
      <c r="D19" s="8"/>
      <c r="E19" s="131" t="s">
        <v>20</v>
      </c>
      <c r="F19" s="132">
        <f>C18+(F14/5*7)</f>
        <v>42984.222222222219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ht="22.5" customHeight="1">
      <c r="B21" s="174" t="s">
        <v>21</v>
      </c>
      <c r="C21" s="175"/>
      <c r="D21" s="175"/>
      <c r="E21" s="175"/>
      <c r="F21" s="176"/>
      <c r="G21" s="1"/>
      <c r="H21" s="1"/>
      <c r="I21" s="1"/>
      <c r="J21" s="1"/>
      <c r="K21" s="1"/>
      <c r="L21" s="1"/>
      <c r="M21" s="1"/>
      <c r="N21" s="1"/>
      <c r="O21" s="1"/>
      <c r="P21" s="1"/>
      <c r="Q21" s="1"/>
      <c r="R21" s="1"/>
      <c r="S21" s="1"/>
      <c r="T21" s="1"/>
      <c r="U21" s="1"/>
      <c r="V21" s="1"/>
      <c r="W21" s="1"/>
      <c r="X21" s="1"/>
      <c r="Y21" s="1"/>
      <c r="Z21" s="1"/>
      <c r="AA21" s="1"/>
      <c r="AB21" s="1"/>
    </row>
    <row r="22" spans="2:34" ht="22.5" customHeight="1">
      <c r="B22" s="177" t="s">
        <v>22</v>
      </c>
      <c r="C22" s="178"/>
      <c r="D22" s="178"/>
      <c r="E22" s="178"/>
      <c r="F22" s="179"/>
      <c r="G22" s="1"/>
      <c r="H22" s="1"/>
      <c r="I22" s="1"/>
      <c r="J22" s="1"/>
      <c r="K22" s="1"/>
      <c r="L22" s="1"/>
      <c r="M22" s="1"/>
      <c r="N22" s="1"/>
      <c r="O22" s="1"/>
      <c r="P22" s="1"/>
      <c r="Q22" s="1"/>
      <c r="R22" s="1"/>
      <c r="S22" s="1"/>
      <c r="T22" s="1"/>
      <c r="U22" s="1"/>
      <c r="V22" s="1"/>
      <c r="W22" s="1"/>
      <c r="X22" s="1"/>
      <c r="Y22" s="1"/>
      <c r="Z22" s="1"/>
      <c r="AA22" s="1"/>
      <c r="AB22" s="1"/>
    </row>
    <row r="23" spans="2:34">
      <c r="B23" s="180" t="s">
        <v>23</v>
      </c>
      <c r="C23" s="181"/>
      <c r="D23" s="181"/>
      <c r="E23" s="181"/>
      <c r="F23" s="182"/>
      <c r="G23" s="1"/>
      <c r="H23" s="1"/>
      <c r="I23" s="1"/>
      <c r="J23" s="1"/>
      <c r="K23" s="1"/>
      <c r="L23" s="1"/>
      <c r="M23" s="1"/>
      <c r="N23" s="1"/>
      <c r="O23" s="1"/>
      <c r="P23" s="1"/>
      <c r="Q23" s="1"/>
      <c r="R23" s="1"/>
      <c r="S23" s="1"/>
      <c r="T23" s="1"/>
      <c r="U23" s="1"/>
      <c r="V23" s="1"/>
      <c r="W23" s="1"/>
      <c r="X23" s="1"/>
      <c r="Y23" s="1"/>
      <c r="Z23" s="1"/>
      <c r="AA23" s="1"/>
      <c r="AB23" s="1"/>
    </row>
    <row r="24" spans="2:34">
      <c r="B24" s="180" t="s">
        <v>24</v>
      </c>
      <c r="C24" s="181"/>
      <c r="D24" s="181"/>
      <c r="E24" s="181"/>
      <c r="F24" s="182"/>
      <c r="G24" s="1"/>
      <c r="H24" s="1"/>
      <c r="I24" s="1"/>
      <c r="J24" s="1"/>
      <c r="K24" s="1"/>
      <c r="L24" s="1"/>
      <c r="M24" s="1"/>
      <c r="N24" s="1"/>
      <c r="O24" s="1"/>
      <c r="P24" s="1"/>
      <c r="Q24" s="1"/>
      <c r="R24" s="1"/>
      <c r="S24" s="1"/>
      <c r="T24" s="1"/>
      <c r="U24" s="1"/>
      <c r="V24" s="1"/>
      <c r="W24" s="1"/>
      <c r="X24" s="1"/>
      <c r="Y24" s="1"/>
      <c r="Z24" s="1"/>
      <c r="AA24" s="1"/>
      <c r="AB24" s="1"/>
    </row>
    <row r="25" spans="2:34" ht="32.65" customHeight="1">
      <c r="B25" s="183" t="s">
        <v>25</v>
      </c>
      <c r="C25" s="184"/>
      <c r="D25" s="184"/>
      <c r="E25" s="184"/>
      <c r="F25" s="185"/>
      <c r="G25" s="1"/>
      <c r="H25" s="1"/>
      <c r="I25" s="1"/>
      <c r="J25" s="1"/>
      <c r="K25" s="1"/>
      <c r="L25" s="1"/>
      <c r="M25" s="1"/>
      <c r="N25" s="1"/>
      <c r="O25" s="1"/>
      <c r="P25" s="1"/>
      <c r="Q25" s="1"/>
      <c r="R25" s="1"/>
      <c r="S25" s="1"/>
      <c r="T25" s="1"/>
      <c r="U25" s="1"/>
      <c r="V25" s="1"/>
      <c r="W25" s="1"/>
      <c r="X25" s="1"/>
      <c r="Y25" s="1"/>
      <c r="Z25" s="1"/>
      <c r="AA25" s="1"/>
      <c r="AB25" s="1"/>
    </row>
    <row r="26" spans="2:34">
      <c r="C26"/>
      <c r="D26"/>
      <c r="F26"/>
    </row>
    <row r="27" spans="2:34">
      <c r="C27"/>
      <c r="D27"/>
      <c r="F27"/>
    </row>
    <row r="28" spans="2:34">
      <c r="C28"/>
      <c r="D28"/>
      <c r="F28"/>
    </row>
    <row r="29" spans="2:34">
      <c r="C29"/>
      <c r="D29"/>
      <c r="F29"/>
    </row>
    <row r="30" spans="2:34">
      <c r="C30"/>
      <c r="D30"/>
      <c r="F30"/>
    </row>
    <row r="31" spans="2:34">
      <c r="C31"/>
      <c r="D31"/>
      <c r="F31"/>
    </row>
    <row r="32" spans="2:34">
      <c r="C32"/>
      <c r="D32"/>
      <c r="F32"/>
    </row>
    <row r="33" spans="3:6">
      <c r="C33"/>
      <c r="D33"/>
      <c r="E33" s="169"/>
      <c r="F33" s="169"/>
    </row>
  </sheetData>
  <sheetProtection formatCells="0" formatColumns="0" formatRows="0" insertColumns="0" insertRows="0" insertHyperlinks="0" selectLockedCells="1" sort="0" autoFilter="0" pivotTables="0"/>
  <mergeCells count="10">
    <mergeCell ref="B1:F1"/>
    <mergeCell ref="B2:F2"/>
    <mergeCell ref="E33:F33"/>
    <mergeCell ref="B4:C4"/>
    <mergeCell ref="E4:F4"/>
    <mergeCell ref="B21:F21"/>
    <mergeCell ref="B22:F22"/>
    <mergeCell ref="B23:F23"/>
    <mergeCell ref="B24:F24"/>
    <mergeCell ref="B25:F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32"/>
  <sheetViews>
    <sheetView workbookViewId="0">
      <selection activeCell="B1" sqref="B1:F1"/>
    </sheetView>
  </sheetViews>
  <sheetFormatPr defaultColWidth="8.7109375" defaultRowHeight="12.75"/>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c r="B1" s="167" t="s">
        <v>26</v>
      </c>
      <c r="C1" s="167"/>
      <c r="D1" s="167"/>
      <c r="E1" s="167"/>
      <c r="F1" s="167"/>
    </row>
    <row r="2" spans="2:34" ht="24.6" customHeight="1">
      <c r="B2" s="186" t="s">
        <v>27</v>
      </c>
      <c r="C2" s="186"/>
      <c r="D2" s="186"/>
      <c r="E2" s="186"/>
      <c r="F2" s="186"/>
    </row>
    <row r="3" spans="2:34" ht="13.5" thickBot="1">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c r="B4" s="193" t="s">
        <v>28</v>
      </c>
      <c r="C4" s="193"/>
      <c r="D4" s="62"/>
      <c r="E4" s="62"/>
      <c r="F4" s="62"/>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c r="B5" s="29"/>
      <c r="C5" s="2"/>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c r="B6" s="29" t="s">
        <v>29</v>
      </c>
      <c r="C6" s="39">
        <f>'Fieldwork Duration'!C8/'Fieldwork Duration'!C16</f>
        <v>625</v>
      </c>
      <c r="D6" s="8"/>
      <c r="E6" s="1"/>
      <c r="F6" s="8"/>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ht="13.5" thickBot="1">
      <c r="B7" s="37"/>
      <c r="C7" s="12"/>
      <c r="D7" s="8"/>
      <c r="E7" s="1"/>
      <c r="F7" s="8"/>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3.5" thickBot="1">
      <c r="D8" s="8"/>
      <c r="E8" s="1"/>
      <c r="F8" s="8"/>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3.5" thickBot="1">
      <c r="B9" s="170" t="s">
        <v>2</v>
      </c>
      <c r="C9" s="171"/>
      <c r="D9" s="8"/>
      <c r="E9" s="172" t="s">
        <v>3</v>
      </c>
      <c r="F9" s="173"/>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13.5" thickBot="1">
      <c r="D10" s="8"/>
      <c r="E10" s="1"/>
      <c r="F10" s="8"/>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ht="13.5" thickBot="1">
      <c r="B11" s="4" t="s">
        <v>4</v>
      </c>
      <c r="C11" s="27" t="s">
        <v>5</v>
      </c>
      <c r="D11" s="8"/>
      <c r="E11" s="4" t="s">
        <v>6</v>
      </c>
      <c r="F11" s="26" t="s">
        <v>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c r="B12" s="2"/>
      <c r="C12" s="9"/>
      <c r="D12" s="8"/>
      <c r="E12" s="2"/>
      <c r="F12" s="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ht="28.15" customHeight="1">
      <c r="B13" s="64" t="s">
        <v>30</v>
      </c>
      <c r="C13" s="129">
        <v>1</v>
      </c>
      <c r="D13" s="65"/>
      <c r="E13" s="61" t="s">
        <v>31</v>
      </c>
      <c r="F13" s="63">
        <f>C6/C13*1.25</f>
        <v>781.25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c r="B14" s="66"/>
      <c r="C14" s="67"/>
      <c r="D14" s="65"/>
      <c r="E14" s="66"/>
      <c r="F14" s="68"/>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ht="14.25">
      <c r="B15" s="69" t="s">
        <v>32</v>
      </c>
      <c r="C15" s="59">
        <v>15</v>
      </c>
      <c r="D15" s="65"/>
      <c r="E15" s="69" t="s">
        <v>33</v>
      </c>
      <c r="F15" s="63">
        <f>F13/C15</f>
        <v>52.083333333333336</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c r="B16" s="69"/>
      <c r="C16" s="71"/>
      <c r="D16" s="65"/>
      <c r="E16" s="69"/>
      <c r="F16" s="7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c r="B17" s="69"/>
      <c r="C17" s="71"/>
      <c r="D17" s="65"/>
      <c r="E17" s="24" t="s">
        <v>34</v>
      </c>
      <c r="F17" s="63">
        <f>F15/6</f>
        <v>8.6805555555555554</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4.25">
      <c r="B18" s="66"/>
      <c r="C18" s="70"/>
      <c r="D18" s="65"/>
      <c r="E18" s="21" t="s">
        <v>35</v>
      </c>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c r="B19" s="69" t="s">
        <v>36</v>
      </c>
      <c r="C19" s="133">
        <v>42767</v>
      </c>
      <c r="D19" s="65"/>
      <c r="E19" s="69" t="s">
        <v>20</v>
      </c>
      <c r="F19" s="134">
        <f>C19+(F15/4*7)</f>
        <v>42858.145833333336</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5" thickBot="1">
      <c r="B20" s="3"/>
      <c r="C20" s="12"/>
      <c r="D20" s="8"/>
      <c r="E20" s="3"/>
      <c r="F20" s="1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c r="C21" s="13"/>
      <c r="D21" s="8"/>
      <c r="E21" s="6"/>
      <c r="F21" s="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ht="51" customHeight="1">
      <c r="B22" s="187" t="s">
        <v>37</v>
      </c>
      <c r="C22" s="188"/>
      <c r="D22" s="188"/>
      <c r="E22" s="188"/>
      <c r="F22" s="189"/>
      <c r="G22" s="1"/>
      <c r="H22" s="1"/>
      <c r="I22" s="1"/>
      <c r="J22" s="1"/>
      <c r="K22" s="1"/>
      <c r="L22" s="1"/>
      <c r="M22" s="1"/>
      <c r="N22" s="1"/>
      <c r="O22" s="1"/>
      <c r="P22" s="1"/>
      <c r="Q22" s="1"/>
      <c r="R22" s="1"/>
      <c r="S22" s="1"/>
      <c r="T22" s="1"/>
      <c r="U22" s="1"/>
      <c r="V22" s="1"/>
      <c r="W22" s="1"/>
      <c r="X22" s="1"/>
      <c r="Y22" s="1"/>
      <c r="Z22" s="1"/>
      <c r="AA22" s="1"/>
      <c r="AB22" s="1"/>
    </row>
    <row r="23" spans="2:34" ht="25.5" customHeight="1">
      <c r="B23" s="190" t="s">
        <v>38</v>
      </c>
      <c r="C23" s="191"/>
      <c r="D23" s="191"/>
      <c r="E23" s="191"/>
      <c r="F23" s="192"/>
      <c r="G23" s="1"/>
      <c r="H23" s="1"/>
      <c r="I23" s="1"/>
      <c r="J23" s="1"/>
      <c r="K23" s="1"/>
      <c r="L23" s="1"/>
      <c r="M23" s="1"/>
      <c r="N23" s="1"/>
      <c r="O23" s="1"/>
      <c r="P23" s="1"/>
      <c r="Q23" s="1"/>
      <c r="R23" s="1"/>
      <c r="S23" s="1"/>
      <c r="T23" s="1"/>
      <c r="U23" s="1"/>
      <c r="V23" s="1"/>
      <c r="W23" s="1"/>
      <c r="X23" s="1"/>
      <c r="Y23" s="1"/>
      <c r="Z23" s="1"/>
      <c r="AA23" s="1"/>
      <c r="AB23" s="1"/>
    </row>
    <row r="24" spans="2:34" ht="25.5" customHeight="1">
      <c r="B24" s="190" t="s">
        <v>39</v>
      </c>
      <c r="C24" s="191"/>
      <c r="D24" s="191"/>
      <c r="E24" s="191"/>
      <c r="F24" s="192"/>
      <c r="G24" s="1"/>
      <c r="H24" s="1"/>
      <c r="I24" s="1"/>
      <c r="J24" s="1"/>
      <c r="K24" s="1"/>
      <c r="L24" s="1"/>
      <c r="M24" s="1"/>
      <c r="N24" s="1"/>
      <c r="O24" s="1"/>
      <c r="P24" s="1"/>
      <c r="Q24" s="1"/>
      <c r="R24" s="1"/>
      <c r="S24" s="1"/>
      <c r="T24" s="1"/>
      <c r="U24" s="1"/>
      <c r="V24" s="1"/>
      <c r="W24" s="1"/>
      <c r="X24" s="1"/>
      <c r="Y24" s="1"/>
      <c r="Z24" s="1"/>
      <c r="AA24" s="1"/>
      <c r="AB24" s="1"/>
    </row>
    <row r="25" spans="2:34">
      <c r="B25" s="194" t="s">
        <v>40</v>
      </c>
      <c r="C25" s="195"/>
      <c r="D25" s="195"/>
      <c r="E25" s="195"/>
      <c r="F25" s="196"/>
    </row>
    <row r="26" spans="2:34">
      <c r="C26"/>
      <c r="D26"/>
      <c r="F26"/>
    </row>
    <row r="27" spans="2:34">
      <c r="C27"/>
      <c r="D27"/>
      <c r="F27"/>
    </row>
    <row r="28" spans="2:34">
      <c r="C28"/>
      <c r="D28"/>
      <c r="F28"/>
    </row>
    <row r="29" spans="2:34">
      <c r="C29"/>
      <c r="D29"/>
      <c r="F29"/>
    </row>
    <row r="30" spans="2:34">
      <c r="C30"/>
      <c r="D30"/>
      <c r="F30"/>
    </row>
    <row r="31" spans="2:34">
      <c r="C31"/>
      <c r="D31"/>
      <c r="F31"/>
    </row>
    <row r="32" spans="2:34">
      <c r="C32"/>
      <c r="D32"/>
      <c r="E32" s="169"/>
      <c r="F32" s="169"/>
    </row>
  </sheetData>
  <sheetProtection formatCells="0" formatColumns="0" formatRows="0" insertColumns="0" insertRows="0" insertHyperlinks="0" selectLockedCells="1" sort="0" autoFilter="0" pivotTables="0"/>
  <mergeCells count="10">
    <mergeCell ref="E32:F32"/>
    <mergeCell ref="B1:F1"/>
    <mergeCell ref="B2:F2"/>
    <mergeCell ref="B9:C9"/>
    <mergeCell ref="E9:F9"/>
    <mergeCell ref="B22:F22"/>
    <mergeCell ref="B23:F23"/>
    <mergeCell ref="B4:C4"/>
    <mergeCell ref="B24:F24"/>
    <mergeCell ref="B25:F25"/>
  </mergeCells>
  <pageMargins left="0.7" right="0.7" top="0.75" bottom="0.75" header="0.3" footer="0.3"/>
  <pageSetup paperSize="9" orientation="portrait" r:id="rId1"/>
  <ignoredErrors>
    <ignoredError sqref="C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36"/>
  <sheetViews>
    <sheetView workbookViewId="0">
      <selection activeCell="B1" sqref="B1:F1"/>
    </sheetView>
  </sheetViews>
  <sheetFormatPr defaultColWidth="8.7109375" defaultRowHeight="12.75"/>
  <cols>
    <col min="1" max="1" width="2.140625" customWidth="1"/>
    <col min="2" max="2" width="54.7109375" customWidth="1"/>
    <col min="3" max="3" width="14.140625" style="7" customWidth="1"/>
    <col min="4" max="4" width="3.7109375" style="7" customWidth="1"/>
    <col min="5" max="5" width="55.140625" customWidth="1"/>
    <col min="6" max="6" width="13.140625" style="7" customWidth="1"/>
  </cols>
  <sheetData>
    <row r="1" spans="2:35" ht="19.5" customHeight="1">
      <c r="B1" s="167" t="s">
        <v>41</v>
      </c>
      <c r="C1" s="167"/>
      <c r="D1" s="167"/>
      <c r="E1" s="167"/>
      <c r="F1" s="167"/>
    </row>
    <row r="2" spans="2:35" ht="24" customHeight="1">
      <c r="B2" s="168" t="s">
        <v>42</v>
      </c>
      <c r="C2" s="168"/>
      <c r="D2" s="168"/>
      <c r="E2" s="168"/>
      <c r="F2" s="168"/>
    </row>
    <row r="3" spans="2:35" ht="13.5" thickBot="1">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c r="B4" s="197" t="s">
        <v>43</v>
      </c>
      <c r="C4" s="198"/>
      <c r="D4" s="8"/>
      <c r="E4" s="172" t="s">
        <v>44</v>
      </c>
      <c r="F4" s="173"/>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c r="B6" s="4" t="s">
        <v>4</v>
      </c>
      <c r="C6" s="46" t="s">
        <v>5</v>
      </c>
      <c r="D6" s="8"/>
      <c r="E6" s="4" t="s">
        <v>6</v>
      </c>
      <c r="F6" s="26" t="s">
        <v>5</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c r="B7" s="56"/>
      <c r="C7" s="84"/>
      <c r="D7" s="8"/>
      <c r="E7" s="87"/>
      <c r="F7" s="57"/>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c r="B8" s="69" t="s">
        <v>29</v>
      </c>
      <c r="C8" s="73">
        <f>'Listing Duration'!C6</f>
        <v>625</v>
      </c>
      <c r="D8" s="65"/>
      <c r="E8" s="88" t="s">
        <v>45</v>
      </c>
      <c r="F8" s="68"/>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4.25">
      <c r="B9" s="66"/>
      <c r="C9" s="74"/>
      <c r="D9" s="65"/>
      <c r="E9" s="86" t="s">
        <v>46</v>
      </c>
      <c r="F9" s="60">
        <f>ROUNDUP(C10/3,0)</f>
        <v>5</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c r="B10" s="69" t="s">
        <v>47</v>
      </c>
      <c r="C10" s="77">
        <f>'Listing Duration'!C15</f>
        <v>15</v>
      </c>
      <c r="D10" s="65"/>
      <c r="E10" s="79" t="s">
        <v>48</v>
      </c>
      <c r="F10" s="60">
        <f>C10</f>
        <v>15</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c r="B11" s="69"/>
      <c r="C11" s="78"/>
      <c r="D11" s="65"/>
      <c r="E11" s="79" t="s">
        <v>49</v>
      </c>
      <c r="F11" s="60">
        <f>C10</f>
        <v>15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13.5" thickBot="1">
      <c r="B12" s="64" t="s">
        <v>50</v>
      </c>
      <c r="C12" s="58">
        <f>'Listing Duration'!F17</f>
        <v>8.6805555555555554</v>
      </c>
      <c r="D12" s="65"/>
      <c r="E12" s="89" t="s">
        <v>51</v>
      </c>
      <c r="F12" s="81">
        <f>SUM(F9:F11)</f>
        <v>35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5" thickBot="1">
      <c r="B13" s="85" t="s">
        <v>52</v>
      </c>
      <c r="C13" s="80"/>
      <c r="D13" s="65"/>
      <c r="E13" s="82" t="s">
        <v>53</v>
      </c>
      <c r="F13" s="83">
        <f>ROUNDUP(F12*1.1,0)</f>
        <v>39</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3.5" thickBot="1">
      <c r="B14" s="75"/>
      <c r="C14" s="76"/>
      <c r="D14" s="65"/>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ht="13.5" thickBot="1">
      <c r="B15" s="170" t="s">
        <v>2</v>
      </c>
      <c r="C15" s="171"/>
      <c r="D15" s="65"/>
      <c r="E15" s="164" t="s">
        <v>54</v>
      </c>
      <c r="F15" s="165"/>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3.5" thickBot="1">
      <c r="D16" s="65"/>
      <c r="E16" s="1"/>
      <c r="F16" s="8"/>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c r="B17" s="44" t="s">
        <v>4</v>
      </c>
      <c r="C17" s="45" t="s">
        <v>5</v>
      </c>
      <c r="D17" s="65"/>
      <c r="E17" s="4" t="s">
        <v>6</v>
      </c>
      <c r="F17" s="26" t="s">
        <v>5</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c r="B18" s="56"/>
      <c r="C18" s="84"/>
      <c r="D18" s="65"/>
      <c r="E18" s="2"/>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c r="B19" s="24" t="s">
        <v>55</v>
      </c>
      <c r="C19" s="41"/>
      <c r="D19" s="8"/>
      <c r="E19" s="19" t="s">
        <v>56</v>
      </c>
      <c r="F19" s="25">
        <f>F9</f>
        <v>5</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4.25">
      <c r="B20" s="29" t="s">
        <v>57</v>
      </c>
      <c r="C20" s="135">
        <v>2</v>
      </c>
      <c r="D20" s="8"/>
      <c r="E20" s="17" t="s">
        <v>48</v>
      </c>
      <c r="F20" s="25">
        <f>F10</f>
        <v>15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c r="B21" s="29"/>
      <c r="C21" s="49"/>
      <c r="D21" s="8"/>
      <c r="E21" s="17" t="s">
        <v>49</v>
      </c>
      <c r="F21" s="25">
        <f>F11</f>
        <v>15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4.25">
      <c r="B22" s="29" t="s">
        <v>58</v>
      </c>
      <c r="C22" s="135">
        <v>2</v>
      </c>
      <c r="D22" s="8"/>
      <c r="E22" s="31" t="s">
        <v>59</v>
      </c>
      <c r="F22" s="25">
        <f>ROUNDUP(F12*0.1,0)</f>
        <v>4</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3.5" thickBot="1">
      <c r="B23" s="3"/>
      <c r="C23" s="136"/>
      <c r="D23" s="1"/>
      <c r="E23" s="18" t="s">
        <v>60</v>
      </c>
      <c r="F23" s="54">
        <f>C20</f>
        <v>2</v>
      </c>
      <c r="G23" s="1"/>
      <c r="H23" s="1"/>
      <c r="I23" s="1"/>
      <c r="J23" s="1"/>
      <c r="K23" s="1"/>
      <c r="L23" s="1"/>
      <c r="M23" s="1"/>
      <c r="N23" s="1"/>
      <c r="O23" s="1"/>
      <c r="P23" s="1"/>
      <c r="Q23" s="1"/>
      <c r="R23" s="1"/>
      <c r="S23" s="1"/>
      <c r="T23" s="1"/>
      <c r="U23" s="1"/>
      <c r="V23" s="1"/>
      <c r="W23" s="1"/>
      <c r="X23" s="1"/>
      <c r="Y23" s="1"/>
      <c r="Z23" s="1"/>
      <c r="AA23" s="1"/>
      <c r="AB23" s="1"/>
    </row>
    <row r="24" spans="2:35" ht="13.5" customHeight="1" thickBot="1">
      <c r="D24" s="1"/>
      <c r="E24" s="18" t="s">
        <v>61</v>
      </c>
      <c r="F24" s="54">
        <f>C22</f>
        <v>2</v>
      </c>
      <c r="G24" s="1"/>
      <c r="H24" s="1"/>
      <c r="I24" s="1"/>
      <c r="J24" s="1"/>
      <c r="K24" s="1"/>
      <c r="L24" s="1"/>
      <c r="M24" s="1"/>
      <c r="N24" s="1"/>
      <c r="O24" s="1"/>
      <c r="P24" s="1"/>
      <c r="Q24" s="1"/>
      <c r="R24" s="1"/>
      <c r="S24" s="1"/>
      <c r="T24" s="1"/>
      <c r="U24" s="1"/>
      <c r="V24" s="1"/>
      <c r="W24" s="1"/>
      <c r="X24" s="1"/>
      <c r="Y24" s="1"/>
      <c r="Z24" s="1"/>
      <c r="AA24" s="1"/>
      <c r="AB24" s="1"/>
    </row>
    <row r="25" spans="2:35" ht="12.75" customHeight="1" thickBot="1">
      <c r="B25" s="203" t="s">
        <v>62</v>
      </c>
      <c r="C25" s="204"/>
      <c r="D25" s="1"/>
      <c r="E25" s="30" t="s">
        <v>63</v>
      </c>
      <c r="F25" s="55">
        <f>SUM(F19:F24)</f>
        <v>43</v>
      </c>
      <c r="G25" s="1"/>
      <c r="H25" s="1"/>
      <c r="I25" s="1"/>
      <c r="J25" s="1"/>
      <c r="K25" s="1"/>
      <c r="L25" s="1"/>
      <c r="M25" s="1"/>
      <c r="N25" s="1"/>
      <c r="O25" s="1"/>
      <c r="P25" s="1"/>
      <c r="Q25" s="1"/>
      <c r="R25" s="1"/>
      <c r="S25" s="1"/>
      <c r="T25" s="1"/>
      <c r="U25" s="1"/>
      <c r="V25" s="1"/>
      <c r="W25" s="1"/>
      <c r="X25" s="1"/>
      <c r="Y25" s="1"/>
      <c r="Z25" s="1"/>
      <c r="AA25" s="1"/>
      <c r="AB25" s="1"/>
    </row>
    <row r="26" spans="2:35" ht="12.75" customHeight="1">
      <c r="B26" s="199"/>
      <c r="C26" s="200"/>
      <c r="D26" s="1"/>
      <c r="G26" s="1"/>
      <c r="H26" s="1"/>
      <c r="I26" s="1"/>
      <c r="J26" s="1"/>
      <c r="K26" s="1"/>
      <c r="L26" s="1"/>
      <c r="M26" s="1"/>
      <c r="N26" s="1"/>
      <c r="O26" s="1"/>
      <c r="P26" s="1"/>
      <c r="Q26" s="1"/>
      <c r="R26" s="1"/>
      <c r="S26" s="1"/>
      <c r="T26" s="1"/>
      <c r="U26" s="1"/>
      <c r="V26" s="1"/>
      <c r="W26" s="1"/>
      <c r="X26" s="1"/>
      <c r="Y26" s="1"/>
      <c r="Z26" s="1"/>
      <c r="AA26" s="1"/>
      <c r="AB26" s="1"/>
    </row>
    <row r="27" spans="2:35" ht="12.75" customHeight="1">
      <c r="B27" s="199" t="s">
        <v>64</v>
      </c>
      <c r="C27" s="200"/>
      <c r="D27" s="1"/>
      <c r="E27" s="203" t="s">
        <v>65</v>
      </c>
      <c r="F27" s="204"/>
      <c r="G27" s="1"/>
    </row>
    <row r="28" spans="2:35" ht="14.65" customHeight="1">
      <c r="B28" s="201"/>
      <c r="C28" s="202"/>
      <c r="D28" s="1"/>
      <c r="E28" s="199" t="s">
        <v>66</v>
      </c>
      <c r="F28" s="200"/>
      <c r="G28" s="1"/>
    </row>
    <row r="29" spans="2:35" ht="12.75" customHeight="1">
      <c r="D29" s="1"/>
      <c r="E29" s="199"/>
      <c r="F29" s="200"/>
      <c r="G29" s="1"/>
    </row>
    <row r="30" spans="2:35" ht="12.4" customHeight="1">
      <c r="D30" s="1"/>
      <c r="E30" s="199" t="s">
        <v>67</v>
      </c>
      <c r="F30" s="200"/>
      <c r="G30" s="1"/>
    </row>
    <row r="31" spans="2:35">
      <c r="D31"/>
      <c r="E31" s="201"/>
      <c r="F31" s="202"/>
    </row>
    <row r="32" spans="2:35">
      <c r="D32"/>
    </row>
    <row r="33" ht="12.75" customHeight="1"/>
    <row r="36" ht="12.75" customHeight="1"/>
  </sheetData>
  <mergeCells count="10">
    <mergeCell ref="B27:C28"/>
    <mergeCell ref="E27:F27"/>
    <mergeCell ref="E28:F29"/>
    <mergeCell ref="E30:F31"/>
    <mergeCell ref="B25:C26"/>
    <mergeCell ref="B1:F1"/>
    <mergeCell ref="B2:F2"/>
    <mergeCell ref="B4:C4"/>
    <mergeCell ref="E4:F4"/>
    <mergeCell ref="B15:C15"/>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39"/>
  <sheetViews>
    <sheetView workbookViewId="0">
      <selection activeCell="B1" sqref="B1:F1"/>
    </sheetView>
  </sheetViews>
  <sheetFormatPr defaultColWidth="8.7109375" defaultRowHeight="12.75"/>
  <cols>
    <col min="1" max="1" width="2.140625" customWidth="1"/>
    <col min="2" max="2" width="54.7109375" customWidth="1"/>
    <col min="3" max="3" width="14.140625" style="7" customWidth="1"/>
    <col min="4" max="4" width="3.7109375" style="7" customWidth="1"/>
    <col min="5" max="5" width="54.28515625" customWidth="1"/>
    <col min="6" max="6" width="13.140625" style="7" customWidth="1"/>
  </cols>
  <sheetData>
    <row r="1" spans="2:35" ht="19.5" customHeight="1">
      <c r="B1" s="167" t="s">
        <v>68</v>
      </c>
      <c r="C1" s="167"/>
      <c r="D1" s="167"/>
      <c r="E1" s="167"/>
      <c r="F1" s="167"/>
    </row>
    <row r="2" spans="2:35" ht="24" customHeight="1">
      <c r="B2" s="168" t="s">
        <v>69</v>
      </c>
      <c r="C2" s="168"/>
      <c r="D2" s="168"/>
      <c r="E2" s="168"/>
      <c r="F2" s="168"/>
    </row>
    <row r="3" spans="2:35" ht="13.5" thickBot="1">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c r="B4" s="197" t="s">
        <v>28</v>
      </c>
      <c r="C4" s="198"/>
      <c r="D4" s="8"/>
      <c r="E4" s="172" t="s">
        <v>44</v>
      </c>
      <c r="F4" s="173"/>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c r="B6" s="4" t="s">
        <v>4</v>
      </c>
      <c r="C6" s="46" t="s">
        <v>5</v>
      </c>
      <c r="D6" s="8"/>
      <c r="E6" s="4" t="s">
        <v>6</v>
      </c>
      <c r="F6" s="26" t="s">
        <v>5</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c r="B7" s="2"/>
      <c r="C7" s="41"/>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c r="B8" s="14" t="s">
        <v>70</v>
      </c>
      <c r="C8" s="47">
        <f>+'Fieldwork Duration'!C8</f>
        <v>12500</v>
      </c>
      <c r="D8" s="8"/>
      <c r="E8" s="14" t="s">
        <v>29</v>
      </c>
      <c r="F8" s="32">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c r="B9" s="2"/>
      <c r="C9" s="41"/>
      <c r="D9" s="8"/>
      <c r="E9" s="14" t="s">
        <v>71</v>
      </c>
      <c r="F9" s="25">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c r="B10" s="14" t="s">
        <v>72</v>
      </c>
      <c r="C10" s="48">
        <f>+'Fieldwork Duration'!C16</f>
        <v>20</v>
      </c>
      <c r="D10" s="8"/>
      <c r="E10" s="2" t="s">
        <v>73</v>
      </c>
      <c r="F10" s="32">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c r="B11" s="14"/>
      <c r="C11" s="49"/>
      <c r="D11" s="8"/>
      <c r="E11" s="119" t="s">
        <v>74</v>
      </c>
      <c r="F11" s="120">
        <f>+'Fieldwork Duration'!F17</f>
        <v>83.333333333333343</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c r="B12" s="22" t="s">
        <v>75</v>
      </c>
      <c r="C12" s="58">
        <f>'Fieldwork Duration'!F15</f>
        <v>13.888888888888889</v>
      </c>
      <c r="D12" s="8"/>
      <c r="E12" s="118" t="s">
        <v>76</v>
      </c>
      <c r="F12" s="60">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c r="B13" s="14"/>
      <c r="C13" s="49"/>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c r="B14" s="14" t="s">
        <v>77</v>
      </c>
      <c r="C14" s="48">
        <f>+'Fieldwork Duration'!C10</f>
        <v>3</v>
      </c>
      <c r="D14" s="8"/>
      <c r="E14" s="23" t="s">
        <v>45</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c r="B15" s="21"/>
      <c r="C15" s="50"/>
      <c r="D15" s="8"/>
      <c r="E15" s="19" t="s">
        <v>56</v>
      </c>
      <c r="F15" s="25">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c r="B16" s="2" t="s">
        <v>78</v>
      </c>
      <c r="C16" s="48">
        <f>+'Fieldwork Duration'!C14</f>
        <v>4</v>
      </c>
      <c r="D16" s="8"/>
      <c r="E16" s="17" t="s">
        <v>79</v>
      </c>
      <c r="F16" s="25">
        <f>F12*C16</f>
        <v>60</v>
      </c>
      <c r="G16" s="115"/>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c r="B17" s="3"/>
      <c r="C17" s="51"/>
      <c r="D17" s="8"/>
      <c r="E17" s="18" t="s">
        <v>80</v>
      </c>
      <c r="F17" s="25">
        <f>F12*1</f>
        <v>15</v>
      </c>
      <c r="G17" s="1"/>
      <c r="H17" s="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c r="D18" s="8"/>
      <c r="E18" s="20" t="s">
        <v>51</v>
      </c>
      <c r="F18" s="52">
        <f>SUM(F15:F17)</f>
        <v>90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c r="B19" s="170" t="s">
        <v>2</v>
      </c>
      <c r="C19" s="171"/>
      <c r="D19" s="8"/>
      <c r="E19" s="28" t="s">
        <v>81</v>
      </c>
      <c r="F19" s="53">
        <f>+F18*1.1</f>
        <v>99.000000000000014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c r="D20" s="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c r="B21" s="44" t="s">
        <v>4</v>
      </c>
      <c r="C21" s="45" t="s">
        <v>5</v>
      </c>
      <c r="D21" s="8"/>
      <c r="E21" s="172" t="s">
        <v>54</v>
      </c>
      <c r="F21" s="17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c r="B22" s="40"/>
      <c r="C22" s="9"/>
      <c r="D22" s="8"/>
      <c r="E22" s="1"/>
      <c r="F22" s="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3.5" thickBot="1">
      <c r="B23" s="24" t="s">
        <v>55</v>
      </c>
      <c r="C23" s="41"/>
      <c r="D23" s="1"/>
      <c r="E23" s="4" t="s">
        <v>6</v>
      </c>
      <c r="F23" s="26" t="s">
        <v>5</v>
      </c>
      <c r="G23" s="1"/>
      <c r="H23" s="1"/>
      <c r="I23" s="1"/>
      <c r="J23" s="1"/>
      <c r="K23" s="1"/>
      <c r="L23" s="1"/>
      <c r="M23" s="1"/>
      <c r="N23" s="1"/>
      <c r="O23" s="1"/>
      <c r="P23" s="1"/>
      <c r="Q23" s="1"/>
      <c r="R23" s="1"/>
      <c r="S23" s="1"/>
      <c r="T23" s="1"/>
      <c r="U23" s="1"/>
      <c r="V23" s="1"/>
      <c r="W23" s="1"/>
      <c r="X23" s="1"/>
      <c r="Y23" s="1"/>
      <c r="Z23" s="1"/>
      <c r="AA23" s="1"/>
      <c r="AB23" s="1"/>
    </row>
    <row r="24" spans="2:35" ht="14.25">
      <c r="B24" s="43" t="s">
        <v>82</v>
      </c>
      <c r="C24" s="38">
        <v>2</v>
      </c>
      <c r="D24" s="1"/>
      <c r="E24" s="2"/>
      <c r="F24" s="9"/>
      <c r="G24" s="1"/>
      <c r="H24" s="1"/>
      <c r="I24" s="1"/>
      <c r="J24" s="1"/>
      <c r="K24" s="1"/>
      <c r="L24" s="1"/>
      <c r="M24" s="1"/>
      <c r="N24" s="1"/>
      <c r="O24" s="1"/>
      <c r="P24" s="1"/>
      <c r="Q24" s="1"/>
      <c r="R24" s="1"/>
      <c r="S24" s="1"/>
      <c r="T24" s="1"/>
      <c r="U24" s="1"/>
      <c r="V24" s="1"/>
      <c r="W24" s="1"/>
      <c r="X24" s="1"/>
      <c r="Y24" s="1"/>
      <c r="Z24" s="1"/>
      <c r="AA24" s="1"/>
      <c r="AB24" s="1"/>
    </row>
    <row r="25" spans="2:35" ht="13.5" thickBot="1">
      <c r="B25" s="42"/>
      <c r="C25" s="10"/>
      <c r="D25" s="1"/>
      <c r="E25" s="19" t="s">
        <v>56</v>
      </c>
      <c r="F25" s="25">
        <f>F15</f>
        <v>15</v>
      </c>
      <c r="G25" s="1"/>
      <c r="H25" s="1"/>
      <c r="I25" s="1"/>
      <c r="J25" s="1"/>
      <c r="K25" s="1"/>
      <c r="L25" s="1"/>
      <c r="M25" s="1"/>
      <c r="N25" s="1"/>
      <c r="O25" s="1"/>
      <c r="P25" s="1"/>
      <c r="Q25" s="1"/>
      <c r="R25" s="1"/>
      <c r="S25" s="1"/>
      <c r="T25" s="1"/>
      <c r="U25" s="1"/>
      <c r="V25" s="1"/>
      <c r="W25" s="1"/>
      <c r="X25" s="1"/>
      <c r="Y25" s="1"/>
      <c r="Z25" s="1"/>
      <c r="AA25" s="1"/>
      <c r="AB25" s="1"/>
    </row>
    <row r="26" spans="2:35" ht="13.5" customHeight="1">
      <c r="D26" s="1"/>
      <c r="E26" s="17" t="s">
        <v>79</v>
      </c>
      <c r="F26" s="25">
        <f>F16</f>
        <v>60</v>
      </c>
      <c r="G26" s="1"/>
      <c r="H26" s="1"/>
      <c r="I26" s="1"/>
      <c r="J26" s="1"/>
      <c r="K26" s="1"/>
      <c r="L26" s="1"/>
      <c r="M26" s="1"/>
      <c r="N26" s="1"/>
      <c r="O26" s="1"/>
      <c r="P26" s="1"/>
      <c r="Q26" s="1"/>
      <c r="R26" s="1"/>
      <c r="S26" s="1"/>
      <c r="T26" s="1"/>
      <c r="U26" s="1"/>
      <c r="V26" s="1"/>
      <c r="W26" s="1"/>
      <c r="X26" s="1"/>
      <c r="Y26" s="1"/>
      <c r="Z26" s="1"/>
      <c r="AA26" s="1"/>
      <c r="AB26" s="1"/>
    </row>
    <row r="27" spans="2:35">
      <c r="B27" s="203" t="s">
        <v>83</v>
      </c>
      <c r="C27" s="204"/>
      <c r="D27" s="1"/>
      <c r="E27" s="18" t="s">
        <v>80</v>
      </c>
      <c r="F27" s="25">
        <f t="shared" ref="F27" si="0">F17</f>
        <v>15</v>
      </c>
      <c r="G27" s="1"/>
      <c r="H27" s="1"/>
      <c r="I27" s="1"/>
      <c r="J27" s="1"/>
      <c r="K27" s="1"/>
      <c r="L27" s="1"/>
      <c r="M27" s="1"/>
      <c r="N27" s="1"/>
      <c r="O27" s="1"/>
      <c r="P27" s="1"/>
      <c r="Q27" s="1"/>
      <c r="R27" s="1"/>
      <c r="S27" s="1"/>
      <c r="T27" s="1"/>
      <c r="U27" s="1"/>
      <c r="V27" s="1"/>
      <c r="W27" s="1"/>
      <c r="X27" s="1"/>
      <c r="Y27" s="1"/>
      <c r="Z27" s="1"/>
      <c r="AA27" s="1"/>
      <c r="AB27" s="1"/>
    </row>
    <row r="28" spans="2:35" ht="12.75" customHeight="1">
      <c r="B28" s="199"/>
      <c r="C28" s="200"/>
      <c r="D28" s="1"/>
      <c r="E28" s="31" t="s">
        <v>84</v>
      </c>
      <c r="F28" s="54">
        <f>F18/100*10</f>
        <v>9</v>
      </c>
      <c r="G28" s="1"/>
      <c r="H28" s="1"/>
      <c r="I28" s="1"/>
      <c r="J28" s="1"/>
      <c r="K28" s="1"/>
      <c r="L28" s="1"/>
      <c r="M28" s="1"/>
      <c r="N28" s="1"/>
      <c r="O28" s="1"/>
      <c r="P28" s="1"/>
      <c r="Q28" s="1"/>
      <c r="R28" s="1"/>
      <c r="S28" s="1"/>
      <c r="T28" s="1"/>
      <c r="U28" s="1"/>
      <c r="V28" s="1"/>
      <c r="W28" s="1"/>
      <c r="X28" s="1"/>
      <c r="Y28" s="1"/>
      <c r="Z28" s="1"/>
      <c r="AA28" s="1"/>
      <c r="AB28" s="1"/>
    </row>
    <row r="29" spans="2:35" ht="12.75" customHeight="1" thickBot="1">
      <c r="B29" s="199"/>
      <c r="C29" s="200"/>
      <c r="D29" s="1"/>
      <c r="E29" s="18" t="s">
        <v>85</v>
      </c>
      <c r="F29" s="54">
        <f>C24</f>
        <v>2</v>
      </c>
      <c r="G29" s="1"/>
    </row>
    <row r="30" spans="2:35" ht="15" thickBot="1">
      <c r="B30" s="199"/>
      <c r="C30" s="200"/>
      <c r="D30" s="1"/>
      <c r="E30" s="30" t="s">
        <v>86</v>
      </c>
      <c r="F30" s="55">
        <f>SUM(F25:F29)</f>
        <v>101</v>
      </c>
      <c r="G30" s="1"/>
    </row>
    <row r="31" spans="2:35" ht="12.4" customHeight="1">
      <c r="B31" s="199"/>
      <c r="C31" s="200"/>
      <c r="D31" s="1"/>
      <c r="G31" s="1"/>
    </row>
    <row r="32" spans="2:35">
      <c r="B32" s="199" t="s">
        <v>87</v>
      </c>
      <c r="C32" s="200"/>
      <c r="D32" s="1"/>
      <c r="E32" s="203" t="s">
        <v>88</v>
      </c>
      <c r="F32" s="204"/>
      <c r="G32" s="1"/>
    </row>
    <row r="33" spans="2:6">
      <c r="B33" s="199"/>
      <c r="C33" s="200"/>
      <c r="D33"/>
      <c r="E33" s="199"/>
      <c r="F33" s="200"/>
    </row>
    <row r="34" spans="2:6">
      <c r="B34" s="201"/>
      <c r="C34" s="202"/>
      <c r="D34"/>
      <c r="E34" s="201"/>
      <c r="F34" s="202"/>
    </row>
    <row r="35" spans="2:6" ht="12.75" customHeight="1"/>
    <row r="38" spans="2:6" ht="12.75" customHeight="1"/>
    <row r="39" spans="2:6" ht="12.4" customHeight="1"/>
  </sheetData>
  <mergeCells count="9">
    <mergeCell ref="E32:F34"/>
    <mergeCell ref="B1:F1"/>
    <mergeCell ref="B2:F2"/>
    <mergeCell ref="B4:C4"/>
    <mergeCell ref="E4:F4"/>
    <mergeCell ref="B19:C19"/>
    <mergeCell ref="E21:F21"/>
    <mergeCell ref="B27:C31"/>
    <mergeCell ref="B32:C34"/>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22"/>
  <sheetViews>
    <sheetView workbookViewId="0">
      <selection activeCell="B1" sqref="B1:C1"/>
    </sheetView>
  </sheetViews>
  <sheetFormatPr defaultColWidth="8.7109375" defaultRowHeight="12.75"/>
  <cols>
    <col min="1" max="1" width="2.140625" customWidth="1"/>
    <col min="2" max="2" width="54.140625" customWidth="1"/>
    <col min="3" max="3" width="14.42578125" style="7" customWidth="1"/>
  </cols>
  <sheetData>
    <row r="1" spans="2:29" ht="19.5" customHeight="1">
      <c r="B1" s="167" t="s">
        <v>89</v>
      </c>
      <c r="C1" s="167"/>
    </row>
    <row r="2" spans="2:29" ht="12.75" customHeight="1">
      <c r="B2" s="207" t="s">
        <v>90</v>
      </c>
      <c r="C2" s="207"/>
    </row>
    <row r="3" spans="2:29" ht="12.75" customHeight="1" thickBot="1">
      <c r="B3" s="166"/>
      <c r="C3" s="166"/>
    </row>
    <row r="4" spans="2:29" ht="13.5" thickBot="1">
      <c r="B4" s="172" t="s">
        <v>3</v>
      </c>
      <c r="C4" s="173"/>
      <c r="D4" s="1"/>
      <c r="E4" s="1"/>
      <c r="F4" s="1"/>
      <c r="G4" s="1"/>
      <c r="H4" s="1"/>
      <c r="I4" s="1"/>
      <c r="J4" s="1"/>
      <c r="K4" s="1"/>
      <c r="L4" s="1"/>
      <c r="M4" s="1"/>
      <c r="N4" s="1"/>
      <c r="O4" s="1"/>
      <c r="P4" s="1"/>
      <c r="Q4" s="1"/>
      <c r="R4" s="1"/>
      <c r="S4" s="1"/>
      <c r="T4" s="1"/>
      <c r="U4" s="1"/>
      <c r="V4" s="1"/>
      <c r="W4" s="1"/>
      <c r="X4" s="1"/>
      <c r="Y4" s="1"/>
      <c r="Z4" s="1"/>
      <c r="AA4" s="1"/>
      <c r="AB4" s="1"/>
      <c r="AC4" s="1"/>
    </row>
    <row r="5" spans="2:29" ht="13.5" thickBot="1">
      <c r="D5" s="1"/>
      <c r="E5" s="1"/>
      <c r="F5" s="1"/>
      <c r="G5" s="1"/>
      <c r="H5" s="1"/>
      <c r="I5" s="1"/>
      <c r="J5" s="1"/>
      <c r="K5" s="1"/>
      <c r="L5" s="1"/>
      <c r="M5" s="1"/>
      <c r="N5" s="1"/>
      <c r="O5" s="1"/>
      <c r="P5" s="1"/>
      <c r="Q5" s="1"/>
      <c r="R5" s="1"/>
      <c r="S5" s="1"/>
      <c r="T5" s="1"/>
      <c r="U5" s="1"/>
      <c r="V5" s="1"/>
      <c r="W5" s="1"/>
      <c r="X5" s="1"/>
      <c r="Y5" s="1"/>
      <c r="Z5" s="1"/>
      <c r="AA5" s="1"/>
      <c r="AB5" s="1"/>
      <c r="AC5" s="1"/>
    </row>
    <row r="6" spans="2:29" ht="13.5" thickBot="1">
      <c r="B6" s="4" t="s">
        <v>4</v>
      </c>
      <c r="C6" s="27" t="s">
        <v>5</v>
      </c>
      <c r="D6" s="1"/>
      <c r="E6" s="1"/>
      <c r="F6" s="1"/>
      <c r="G6" s="1"/>
      <c r="H6" s="1"/>
      <c r="I6" s="1"/>
      <c r="J6" s="1"/>
      <c r="K6" s="1"/>
      <c r="L6" s="1"/>
      <c r="M6" s="1"/>
      <c r="N6" s="1"/>
      <c r="O6" s="1"/>
      <c r="P6" s="1"/>
      <c r="Q6" s="1"/>
      <c r="R6" s="1"/>
      <c r="S6" s="1"/>
      <c r="T6" s="1"/>
      <c r="U6" s="1"/>
      <c r="V6" s="1"/>
      <c r="W6" s="1"/>
      <c r="X6" s="1"/>
      <c r="Y6" s="1"/>
      <c r="Z6" s="1"/>
      <c r="AA6" s="1"/>
      <c r="AB6" s="1"/>
      <c r="AC6" s="1"/>
    </row>
    <row r="7" spans="2:29">
      <c r="B7" s="2"/>
      <c r="C7" s="9"/>
      <c r="D7" s="1"/>
      <c r="E7" s="1"/>
      <c r="F7" s="1"/>
      <c r="G7" s="1"/>
      <c r="H7" s="1"/>
      <c r="I7" s="1"/>
      <c r="J7" s="1"/>
      <c r="K7" s="1"/>
      <c r="L7" s="1"/>
      <c r="M7" s="1"/>
      <c r="N7" s="1"/>
      <c r="O7" s="1"/>
      <c r="P7" s="1"/>
      <c r="Q7" s="1"/>
      <c r="R7" s="1"/>
      <c r="S7" s="1"/>
      <c r="T7" s="1"/>
      <c r="U7" s="1"/>
      <c r="V7" s="1"/>
      <c r="W7" s="1"/>
      <c r="X7" s="1"/>
      <c r="Y7" s="1"/>
      <c r="Z7" s="1"/>
      <c r="AA7" s="1"/>
      <c r="AB7" s="1"/>
      <c r="AC7" s="1"/>
    </row>
    <row r="8" spans="2:29" ht="14.25">
      <c r="B8" s="14" t="s">
        <v>91</v>
      </c>
      <c r="C8" s="96">
        <f>2*'Fieldwork Duration'!C12</f>
        <v>30</v>
      </c>
      <c r="D8" s="1"/>
      <c r="E8" s="1"/>
      <c r="F8" s="1"/>
      <c r="G8" s="1"/>
      <c r="H8" s="1"/>
      <c r="I8" s="1"/>
      <c r="J8" s="1"/>
      <c r="K8" s="1"/>
      <c r="L8" s="1"/>
      <c r="M8" s="1"/>
      <c r="N8" s="1"/>
      <c r="O8" s="1"/>
      <c r="P8" s="1"/>
      <c r="Q8" s="1"/>
      <c r="R8" s="1"/>
      <c r="S8" s="1"/>
      <c r="T8" s="1"/>
      <c r="U8" s="1"/>
      <c r="V8" s="1"/>
      <c r="W8" s="1"/>
      <c r="X8" s="1"/>
      <c r="Y8" s="1"/>
      <c r="Z8" s="1"/>
      <c r="AA8" s="1"/>
      <c r="AB8" s="1"/>
      <c r="AC8" s="1"/>
    </row>
    <row r="9" spans="2:29">
      <c r="B9" s="2"/>
      <c r="C9" s="97"/>
      <c r="D9" s="1"/>
      <c r="E9" s="1"/>
      <c r="F9" s="1"/>
      <c r="G9" s="1"/>
      <c r="H9" s="1"/>
      <c r="I9" s="1"/>
      <c r="J9" s="1"/>
      <c r="K9" s="1"/>
      <c r="L9" s="1"/>
      <c r="M9" s="1"/>
      <c r="N9" s="1"/>
      <c r="O9" s="1"/>
      <c r="P9" s="1"/>
      <c r="Q9" s="1"/>
      <c r="R9" s="1"/>
      <c r="S9" s="1"/>
      <c r="T9" s="1"/>
      <c r="U9" s="1"/>
      <c r="V9" s="1"/>
      <c r="W9" s="1"/>
      <c r="X9" s="1"/>
      <c r="Y9" s="1"/>
      <c r="Z9" s="1"/>
      <c r="AA9" s="1"/>
      <c r="AB9" s="1"/>
      <c r="AC9" s="1"/>
    </row>
    <row r="10" spans="2:29" ht="14.25">
      <c r="B10" s="22" t="s">
        <v>92</v>
      </c>
      <c r="C10" s="98">
        <f>2*'Fieldwork Duration'!C12</f>
        <v>30</v>
      </c>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2:29">
      <c r="B11" s="2"/>
      <c r="C11" s="99"/>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2:29" ht="13.9" customHeight="1">
      <c r="B12" s="14" t="s">
        <v>93</v>
      </c>
      <c r="C12" s="100">
        <f>'Fieldwork Duration'!C8/50+2*'Fieldwork Staff'!F16+'Fieldwork Staff'!F30</f>
        <v>471</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2:29">
      <c r="B13" s="2"/>
      <c r="C13" s="99"/>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2:29" ht="13.9" customHeight="1">
      <c r="B14" s="14" t="s">
        <v>94</v>
      </c>
      <c r="C14" s="100">
        <f>'Fieldwork Staff'!F25+'Fieldwork Staff'!F26+'Fieldwork Staff'!F12+5</f>
        <v>95</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2:29">
      <c r="B15" s="14"/>
      <c r="C15" s="10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29" ht="14.25">
      <c r="B16" s="15" t="s">
        <v>95</v>
      </c>
      <c r="C16" s="100">
        <f>ROUNDUP(1.1*'Fieldwork Duration'!C12,0)</f>
        <v>17</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2:29" ht="12.4" customHeight="1" thickBot="1">
      <c r="B17" s="3"/>
      <c r="C17" s="12"/>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29">
      <c r="C18" s="13"/>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ht="51" customHeight="1">
      <c r="B19" s="203" t="s">
        <v>96</v>
      </c>
      <c r="C19" s="204"/>
      <c r="D19" s="1"/>
      <c r="E19" s="1"/>
      <c r="F19" s="1"/>
      <c r="G19" s="1"/>
      <c r="H19" s="1"/>
      <c r="I19" s="1"/>
      <c r="J19" s="1"/>
      <c r="K19" s="1"/>
      <c r="L19" s="1"/>
      <c r="M19" s="1"/>
      <c r="N19" s="1"/>
      <c r="O19" s="1"/>
      <c r="P19" s="1"/>
      <c r="Q19" s="1"/>
      <c r="R19" s="1"/>
      <c r="S19" s="1"/>
      <c r="T19" s="1"/>
      <c r="U19" s="1"/>
      <c r="V19" s="1"/>
      <c r="W19" s="1"/>
    </row>
    <row r="20" spans="2:29" ht="63.75" customHeight="1">
      <c r="B20" s="199" t="s">
        <v>97</v>
      </c>
      <c r="C20" s="200"/>
    </row>
    <row r="21" spans="2:29" ht="63.75" customHeight="1">
      <c r="B21" s="199" t="s">
        <v>98</v>
      </c>
      <c r="C21" s="200"/>
    </row>
    <row r="22" spans="2:29" ht="48.75" customHeight="1">
      <c r="B22" s="205" t="s">
        <v>99</v>
      </c>
      <c r="C22" s="206"/>
    </row>
  </sheetData>
  <mergeCells count="7">
    <mergeCell ref="B21:C21"/>
    <mergeCell ref="B22:C22"/>
    <mergeCell ref="B1:C1"/>
    <mergeCell ref="B2:C2"/>
    <mergeCell ref="B19:C19"/>
    <mergeCell ref="B4:C4"/>
    <mergeCell ref="B20:C20"/>
  </mergeCells>
  <pageMargins left="0.7" right="0.7" top="0.75" bottom="0.75" header="0.3" footer="0.3"/>
  <pageSetup paperSize="9" orientation="portrait" r:id="rId1"/>
  <ignoredErrors>
    <ignoredError sqref="C16 C10 C8 C12 C1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CD22-A985-4939-9ACA-EB8D6FD74AAB}">
  <dimension ref="B1:AC29"/>
  <sheetViews>
    <sheetView workbookViewId="0">
      <selection activeCell="B1" sqref="B1"/>
    </sheetView>
  </sheetViews>
  <sheetFormatPr defaultColWidth="8.7109375" defaultRowHeight="12.75"/>
  <cols>
    <col min="1" max="1" width="2.140625" customWidth="1"/>
    <col min="2" max="2" width="54.140625" customWidth="1"/>
    <col min="3" max="3" width="14.42578125" style="7" customWidth="1"/>
    <col min="4" max="4" width="9.7109375" customWidth="1"/>
    <col min="5" max="5" width="9.5703125" customWidth="1"/>
  </cols>
  <sheetData>
    <row r="1" spans="2:5" ht="19.5" customHeight="1">
      <c r="B1" s="163" t="s">
        <v>100</v>
      </c>
      <c r="C1" s="163"/>
    </row>
    <row r="2" spans="2:5" ht="12.75" customHeight="1">
      <c r="B2" s="207" t="s">
        <v>90</v>
      </c>
      <c r="C2" s="207"/>
    </row>
    <row r="3" spans="2:5" ht="12.75" customHeight="1" thickBot="1">
      <c r="B3" s="166"/>
      <c r="C3" s="166"/>
    </row>
    <row r="4" spans="2:5" ht="12.75" customHeight="1" thickBot="1">
      <c r="B4" s="172" t="s">
        <v>3</v>
      </c>
      <c r="C4" s="173"/>
    </row>
    <row r="5" spans="2:5" ht="12.75" customHeight="1" thickBot="1"/>
    <row r="6" spans="2:5" ht="12.75" customHeight="1" thickBot="1">
      <c r="B6" s="4" t="s">
        <v>4</v>
      </c>
      <c r="C6" s="45" t="s">
        <v>5</v>
      </c>
    </row>
    <row r="7" spans="2:5" ht="12.75" customHeight="1">
      <c r="B7" s="2"/>
      <c r="C7" s="9"/>
    </row>
    <row r="8" spans="2:5" ht="12.75" customHeight="1">
      <c r="B8" s="14" t="s">
        <v>101</v>
      </c>
      <c r="C8" s="100">
        <f>Supplies!C14</f>
        <v>95</v>
      </c>
    </row>
    <row r="9" spans="2:5" ht="12.75" customHeight="1">
      <c r="B9" s="14"/>
      <c r="C9" s="99"/>
    </row>
    <row r="10" spans="2:5" ht="12.75" customHeight="1">
      <c r="B10" s="14" t="s">
        <v>102</v>
      </c>
      <c r="C10" s="100">
        <f>Supplies!C14</f>
        <v>95</v>
      </c>
      <c r="D10" s="137"/>
      <c r="E10" s="138"/>
    </row>
    <row r="11" spans="2:5" ht="12.75" customHeight="1">
      <c r="B11" s="14"/>
      <c r="C11" s="99"/>
      <c r="D11" s="137"/>
      <c r="E11" s="138"/>
    </row>
    <row r="12" spans="2:5" ht="12.75" customHeight="1">
      <c r="B12" s="14" t="s">
        <v>103</v>
      </c>
      <c r="C12" s="100">
        <f>Supplies!C14</f>
        <v>95</v>
      </c>
      <c r="D12" s="137"/>
      <c r="E12" s="138"/>
    </row>
    <row r="13" spans="2:5" ht="12.75" customHeight="1">
      <c r="B13" s="14"/>
      <c r="C13" s="99"/>
      <c r="D13" s="137"/>
      <c r="E13" s="138"/>
    </row>
    <row r="14" spans="2:5" ht="12.75" customHeight="1">
      <c r="B14" s="14" t="s">
        <v>104</v>
      </c>
      <c r="C14" s="100">
        <f>Supplies!C14</f>
        <v>95</v>
      </c>
      <c r="D14" s="137"/>
      <c r="E14" s="138"/>
    </row>
    <row r="15" spans="2:5" ht="12.75" customHeight="1">
      <c r="B15" s="14"/>
      <c r="C15" s="99"/>
      <c r="D15" s="137"/>
      <c r="E15" s="138"/>
    </row>
    <row r="16" spans="2:5" ht="12.75" customHeight="1">
      <c r="B16" s="14" t="s">
        <v>105</v>
      </c>
      <c r="C16" s="100">
        <f>2*'Fieldwork Duration'!C12</f>
        <v>30</v>
      </c>
      <c r="D16" s="137"/>
      <c r="E16" s="138"/>
    </row>
    <row r="17" spans="2:29" ht="12.75" customHeight="1">
      <c r="B17" s="14"/>
      <c r="C17" s="99"/>
      <c r="D17" s="137"/>
      <c r="E17" s="138"/>
    </row>
    <row r="18" spans="2:29" ht="12.75" customHeight="1">
      <c r="B18" s="14" t="s">
        <v>106</v>
      </c>
      <c r="C18" s="100">
        <f>Supplies!C14+(2*'Fieldwork Duration'!C12)</f>
        <v>125</v>
      </c>
      <c r="D18" s="137"/>
      <c r="E18" s="138"/>
    </row>
    <row r="19" spans="2:29" ht="12.75" customHeight="1">
      <c r="B19" s="14"/>
      <c r="C19" s="99"/>
      <c r="D19" s="137"/>
      <c r="E19" s="138"/>
    </row>
    <row r="20" spans="2:29" ht="12.75" customHeight="1">
      <c r="B20" s="14" t="s">
        <v>107</v>
      </c>
      <c r="C20" s="100">
        <f>'Fieldwork Duration'!C12</f>
        <v>15</v>
      </c>
      <c r="D20" s="137"/>
      <c r="E20" s="138"/>
    </row>
    <row r="21" spans="2:29" ht="12.75" customHeight="1" thickBot="1">
      <c r="B21" s="3"/>
      <c r="C21" s="12"/>
      <c r="D21" s="137"/>
    </row>
    <row r="22" spans="2:29" ht="12.75" customHeight="1">
      <c r="C22" s="13"/>
      <c r="D22" s="137"/>
      <c r="E22" s="138"/>
    </row>
    <row r="23" spans="2:29" ht="12.75" customHeight="1">
      <c r="B23" s="208" t="s">
        <v>108</v>
      </c>
      <c r="C23" s="209"/>
    </row>
    <row r="24" spans="2:29" ht="12.75" customHeight="1">
      <c r="B24" s="210" t="s">
        <v>109</v>
      </c>
      <c r="C24" s="211"/>
    </row>
    <row r="25" spans="2:29" ht="12.75" customHeight="1">
      <c r="B25" s="212" t="s">
        <v>110</v>
      </c>
      <c r="C25" s="213"/>
    </row>
    <row r="26" spans="2:29" ht="12.75" customHeight="1"/>
    <row r="27" spans="2:29" ht="12.75" customHeight="1"/>
    <row r="28" spans="2:29">
      <c r="B28" s="122"/>
    </row>
    <row r="29" spans="2:29" s="7" customFormat="1">
      <c r="B29" s="122"/>
      <c r="D29"/>
      <c r="E29"/>
      <c r="F29"/>
      <c r="G29"/>
      <c r="H29"/>
      <c r="I29"/>
      <c r="J29"/>
      <c r="K29"/>
      <c r="L29"/>
      <c r="M29"/>
      <c r="N29"/>
      <c r="O29"/>
      <c r="P29"/>
      <c r="Q29"/>
      <c r="R29"/>
      <c r="S29"/>
      <c r="T29"/>
      <c r="U29"/>
      <c r="V29"/>
      <c r="W29"/>
      <c r="X29"/>
      <c r="Y29"/>
      <c r="Z29"/>
      <c r="AA29"/>
      <c r="AB29"/>
      <c r="AC29"/>
    </row>
  </sheetData>
  <mergeCells count="5">
    <mergeCell ref="B23:C23"/>
    <mergeCell ref="B24:C24"/>
    <mergeCell ref="B25:C25"/>
    <mergeCell ref="B2:C2"/>
    <mergeCell ref="B4:C4"/>
  </mergeCells>
  <pageMargins left="0.7" right="0.7" top="0.75" bottom="0.75" header="0.3" footer="0.3"/>
  <pageSetup paperSize="9" orientation="portrait" r:id="rId1"/>
  <ignoredErrors>
    <ignoredError sqref="C20 C18 C16 C14 C12 C10 C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F37"/>
  <sheetViews>
    <sheetView zoomScaleNormal="100" workbookViewId="0">
      <selection activeCell="B1" sqref="B1:C1"/>
    </sheetView>
  </sheetViews>
  <sheetFormatPr defaultColWidth="8.7109375" defaultRowHeight="12.75"/>
  <cols>
    <col min="1" max="1" width="2.140625" customWidth="1"/>
    <col min="2" max="2" width="58.7109375" customWidth="1"/>
    <col min="3" max="3" width="15.42578125" customWidth="1"/>
    <col min="4" max="4" width="2.140625" customWidth="1"/>
    <col min="5" max="5" width="61.140625" customWidth="1"/>
    <col min="6" max="7" width="13.7109375" style="7" customWidth="1"/>
    <col min="8" max="8" width="13.7109375" customWidth="1"/>
    <col min="9" max="11" width="13.140625" customWidth="1"/>
  </cols>
  <sheetData>
    <row r="1" spans="2:32" ht="19.5" customHeight="1">
      <c r="B1" s="167" t="s">
        <v>111</v>
      </c>
      <c r="C1" s="167"/>
    </row>
    <row r="2" spans="2:32" ht="12.75" customHeight="1">
      <c r="B2" s="139" t="s">
        <v>112</v>
      </c>
      <c r="C2" s="139"/>
      <c r="D2" s="139"/>
      <c r="E2" s="139"/>
      <c r="F2" s="139"/>
      <c r="G2" s="139"/>
    </row>
    <row r="3" spans="2:32" ht="12.75" customHeight="1" thickBot="1">
      <c r="E3" s="166"/>
      <c r="F3" s="166"/>
    </row>
    <row r="4" spans="2:32" ht="13.5" thickBot="1">
      <c r="B4" s="197" t="s">
        <v>28</v>
      </c>
      <c r="C4" s="198"/>
      <c r="E4" s="172" t="s">
        <v>3</v>
      </c>
      <c r="F4" s="216"/>
      <c r="G4" s="216"/>
      <c r="H4" s="216"/>
      <c r="I4" s="216"/>
      <c r="J4" s="216"/>
      <c r="K4" s="217"/>
      <c r="L4" s="1"/>
      <c r="M4" s="1"/>
      <c r="N4" s="1"/>
      <c r="O4" s="1"/>
      <c r="P4" s="1"/>
      <c r="Q4" s="1"/>
      <c r="R4" s="1"/>
      <c r="S4" s="1"/>
      <c r="T4" s="1"/>
      <c r="U4" s="1"/>
      <c r="V4" s="1"/>
      <c r="W4" s="1"/>
      <c r="X4" s="1"/>
      <c r="Y4" s="1"/>
      <c r="Z4" s="1"/>
      <c r="AA4" s="1"/>
      <c r="AB4" s="1"/>
      <c r="AC4" s="1"/>
      <c r="AD4" s="1"/>
      <c r="AE4" s="1"/>
      <c r="AF4" s="1"/>
    </row>
    <row r="5" spans="2:32" ht="13.5" thickBot="1">
      <c r="C5" s="7"/>
      <c r="G5" s="8"/>
      <c r="H5" s="1"/>
      <c r="I5" s="1"/>
      <c r="J5" s="1"/>
      <c r="K5" s="1"/>
      <c r="L5" s="1"/>
      <c r="M5" s="1"/>
      <c r="N5" s="1"/>
      <c r="O5" s="1"/>
      <c r="P5" s="1"/>
      <c r="Q5" s="1"/>
      <c r="R5" s="1"/>
      <c r="S5" s="1"/>
      <c r="T5" s="1"/>
      <c r="U5" s="1"/>
      <c r="V5" s="1"/>
      <c r="W5" s="1"/>
      <c r="X5" s="1"/>
      <c r="Y5" s="1"/>
      <c r="Z5" s="1"/>
      <c r="AA5" s="1"/>
      <c r="AB5" s="1"/>
      <c r="AC5" s="1"/>
      <c r="AD5" s="1"/>
      <c r="AE5" s="1"/>
      <c r="AF5" s="1"/>
    </row>
    <row r="6" spans="2:32" ht="15" thickBot="1">
      <c r="B6" s="4" t="s">
        <v>4</v>
      </c>
      <c r="C6" s="46" t="s">
        <v>5</v>
      </c>
      <c r="E6" s="87" t="s">
        <v>4</v>
      </c>
      <c r="F6" s="27" t="s">
        <v>113</v>
      </c>
      <c r="G6" s="92" t="s">
        <v>114</v>
      </c>
      <c r="H6" s="128" t="s">
        <v>115</v>
      </c>
      <c r="I6" s="92" t="s">
        <v>116</v>
      </c>
      <c r="J6" s="92" t="s">
        <v>117</v>
      </c>
      <c r="K6" s="128" t="s">
        <v>118</v>
      </c>
      <c r="L6" s="1"/>
      <c r="M6" s="1"/>
      <c r="N6" s="1"/>
      <c r="O6" s="1"/>
      <c r="P6" s="1"/>
      <c r="Q6" s="1"/>
      <c r="R6" s="1"/>
      <c r="S6" s="1"/>
      <c r="T6" s="1"/>
      <c r="U6" s="1"/>
      <c r="V6" s="1"/>
      <c r="W6" s="1"/>
      <c r="X6" s="1"/>
      <c r="Y6" s="1"/>
      <c r="Z6" s="1"/>
      <c r="AA6" s="1"/>
      <c r="AB6" s="1"/>
      <c r="AC6" s="1"/>
      <c r="AD6" s="1"/>
      <c r="AE6" s="1"/>
      <c r="AF6" s="1"/>
    </row>
    <row r="7" spans="2:32">
      <c r="B7" s="56"/>
      <c r="C7" s="109"/>
      <c r="E7" s="153"/>
      <c r="F7" s="112"/>
      <c r="G7" s="141"/>
      <c r="H7" s="146"/>
      <c r="I7" s="141"/>
      <c r="J7" s="112"/>
      <c r="K7" s="146"/>
      <c r="L7" s="1"/>
      <c r="M7" s="1"/>
      <c r="N7" s="1"/>
      <c r="O7" s="1"/>
      <c r="P7" s="1"/>
      <c r="Q7" s="1"/>
      <c r="R7" s="1"/>
      <c r="S7" s="1"/>
      <c r="T7" s="1"/>
      <c r="U7" s="1"/>
      <c r="V7" s="1"/>
      <c r="W7" s="1"/>
      <c r="X7" s="1"/>
      <c r="Y7" s="1"/>
      <c r="Z7" s="1"/>
      <c r="AA7" s="1"/>
      <c r="AB7" s="1"/>
      <c r="AC7" s="1"/>
      <c r="AD7" s="1"/>
      <c r="AE7" s="1"/>
      <c r="AF7" s="1"/>
    </row>
    <row r="8" spans="2:32">
      <c r="B8" s="69" t="s">
        <v>29</v>
      </c>
      <c r="C8" s="73">
        <f>'Fieldwork Duration'!C8/'Fieldwork Duration'!C16</f>
        <v>625</v>
      </c>
      <c r="E8" s="154" t="s">
        <v>119</v>
      </c>
      <c r="F8" s="90"/>
      <c r="G8" s="142"/>
      <c r="H8" s="102"/>
      <c r="I8" s="142"/>
      <c r="J8" s="102"/>
      <c r="K8" s="102"/>
      <c r="L8" s="1"/>
      <c r="M8" s="1"/>
      <c r="N8" s="1"/>
      <c r="O8" s="1"/>
      <c r="P8" s="1"/>
      <c r="Q8" s="1"/>
      <c r="R8" s="1"/>
      <c r="S8" s="1"/>
      <c r="T8" s="1"/>
      <c r="U8" s="1"/>
      <c r="V8" s="1"/>
      <c r="W8" s="1"/>
      <c r="X8" s="1"/>
      <c r="Y8" s="1"/>
      <c r="Z8" s="1"/>
      <c r="AA8" s="1"/>
      <c r="AB8" s="1"/>
      <c r="AC8" s="1"/>
      <c r="AD8" s="1"/>
      <c r="AE8" s="1"/>
      <c r="AF8" s="1"/>
    </row>
    <row r="9" spans="2:32">
      <c r="B9" s="66"/>
      <c r="C9" s="110"/>
      <c r="E9" s="155" t="s">
        <v>120</v>
      </c>
      <c r="F9" s="103"/>
      <c r="G9" s="142"/>
      <c r="H9" s="102"/>
      <c r="I9" s="142"/>
      <c r="J9" s="102"/>
      <c r="K9" s="102"/>
      <c r="L9" s="1"/>
      <c r="M9" s="1"/>
      <c r="N9" s="1"/>
      <c r="O9" s="1"/>
      <c r="P9" s="1"/>
      <c r="Q9" s="1"/>
      <c r="R9" s="1"/>
      <c r="S9" s="1"/>
      <c r="T9" s="1"/>
      <c r="U9" s="1"/>
      <c r="V9" s="1"/>
      <c r="W9" s="1"/>
      <c r="X9" s="1"/>
      <c r="Y9" s="1"/>
      <c r="Z9" s="1"/>
      <c r="AA9" s="1"/>
      <c r="AB9" s="1"/>
      <c r="AC9" s="1"/>
      <c r="AD9" s="1"/>
      <c r="AE9" s="1"/>
      <c r="AF9" s="1"/>
    </row>
    <row r="10" spans="2:32">
      <c r="B10" s="69" t="s">
        <v>121</v>
      </c>
      <c r="C10" s="73">
        <f>'Fieldwork Duration'!C12</f>
        <v>15</v>
      </c>
      <c r="E10" s="156" t="s">
        <v>122</v>
      </c>
      <c r="F10" s="104">
        <f>ROUNDUP(C10*1.1,0)</f>
        <v>17</v>
      </c>
      <c r="G10" s="143">
        <v>1</v>
      </c>
      <c r="H10" s="147">
        <v>887.8</v>
      </c>
      <c r="I10" s="143">
        <v>1</v>
      </c>
      <c r="J10" s="150">
        <f>ROUNDUP(F10/I10,0)</f>
        <v>17</v>
      </c>
      <c r="K10" s="150">
        <f>H10*J10</f>
        <v>15092.599999999999</v>
      </c>
      <c r="L10" s="1"/>
      <c r="M10" s="1"/>
      <c r="N10" s="1"/>
      <c r="O10" s="1"/>
      <c r="P10" s="1"/>
      <c r="Q10" s="1"/>
      <c r="R10" s="1"/>
      <c r="S10" s="1"/>
      <c r="T10" s="1"/>
      <c r="U10" s="1"/>
      <c r="V10" s="1"/>
      <c r="W10" s="1"/>
      <c r="X10" s="1"/>
      <c r="Y10" s="1"/>
      <c r="Z10" s="1"/>
      <c r="AA10" s="1"/>
      <c r="AB10" s="1"/>
      <c r="AC10" s="1"/>
      <c r="AD10" s="1"/>
      <c r="AE10" s="1"/>
      <c r="AF10" s="1"/>
    </row>
    <row r="11" spans="2:32" ht="13.5" thickBot="1">
      <c r="B11" s="91"/>
      <c r="C11" s="111"/>
      <c r="E11" s="157" t="s">
        <v>123</v>
      </c>
      <c r="F11" s="105">
        <f>ROUNDUP(C10*2*1.1,0)</f>
        <v>33</v>
      </c>
      <c r="G11" s="143">
        <v>2</v>
      </c>
      <c r="H11" s="147">
        <v>30.57</v>
      </c>
      <c r="I11" s="143">
        <v>1</v>
      </c>
      <c r="J11" s="150">
        <f>ROUNDUP(F11/I11,0)</f>
        <v>33</v>
      </c>
      <c r="K11" s="150">
        <f t="shared" ref="K11:K13" si="0">H11*J11</f>
        <v>1008.8100000000001</v>
      </c>
      <c r="L11" s="1"/>
      <c r="M11" s="1"/>
      <c r="N11" s="1"/>
      <c r="O11" s="1"/>
      <c r="P11" s="1"/>
      <c r="Q11" s="1"/>
      <c r="R11" s="1"/>
      <c r="S11" s="1"/>
      <c r="T11" s="1"/>
      <c r="U11" s="1"/>
      <c r="V11" s="1"/>
      <c r="W11" s="1"/>
      <c r="X11" s="1"/>
      <c r="Y11" s="1"/>
      <c r="Z11" s="1"/>
      <c r="AA11" s="1"/>
      <c r="AB11" s="1"/>
      <c r="AC11" s="1"/>
      <c r="AD11" s="1"/>
      <c r="AE11" s="1"/>
      <c r="AF11" s="1"/>
    </row>
    <row r="12" spans="2:32" ht="13.9" customHeight="1" thickBot="1">
      <c r="B12" s="75"/>
      <c r="C12" s="76"/>
      <c r="E12" s="158" t="s">
        <v>124</v>
      </c>
      <c r="F12" s="106">
        <f>ROUNDUP(C10*2*1.1,0)</f>
        <v>33</v>
      </c>
      <c r="G12" s="143">
        <v>2</v>
      </c>
      <c r="H12" s="147">
        <v>93.11</v>
      </c>
      <c r="I12" s="143">
        <v>50</v>
      </c>
      <c r="J12" s="150">
        <f>ROUNDUP(F12/I12,0)</f>
        <v>1</v>
      </c>
      <c r="K12" s="150">
        <f t="shared" si="0"/>
        <v>93.11</v>
      </c>
      <c r="L12" s="1"/>
      <c r="M12" s="1"/>
      <c r="N12" s="1"/>
      <c r="O12" s="1"/>
      <c r="P12" s="1"/>
      <c r="Q12" s="1"/>
      <c r="R12" s="1"/>
      <c r="S12" s="1"/>
      <c r="T12" s="1"/>
      <c r="U12" s="1"/>
      <c r="V12" s="1"/>
      <c r="W12" s="1"/>
      <c r="X12" s="1"/>
      <c r="Y12" s="1"/>
      <c r="Z12" s="1"/>
      <c r="AA12" s="1"/>
      <c r="AB12" s="1"/>
      <c r="AC12" s="1"/>
      <c r="AD12" s="1"/>
      <c r="AE12" s="1"/>
      <c r="AF12" s="1"/>
    </row>
    <row r="13" spans="2:32" ht="15.75" thickBot="1">
      <c r="B13" s="170" t="s">
        <v>2</v>
      </c>
      <c r="C13" s="171"/>
      <c r="E13" s="158" t="s">
        <v>125</v>
      </c>
      <c r="F13" s="106">
        <f>ROUNDUP(C10*2*1.1,0)</f>
        <v>33</v>
      </c>
      <c r="G13" s="143">
        <v>2</v>
      </c>
      <c r="H13" s="147">
        <v>21.86</v>
      </c>
      <c r="I13" s="143">
        <v>1</v>
      </c>
      <c r="J13" s="150">
        <f>ROUNDUP(F13/I13,0)</f>
        <v>33</v>
      </c>
      <c r="K13" s="150">
        <f t="shared" si="0"/>
        <v>721.38</v>
      </c>
      <c r="L13" s="1"/>
      <c r="M13" s="1"/>
      <c r="N13" s="1"/>
      <c r="O13" s="1"/>
      <c r="P13" s="1"/>
      <c r="Q13" s="1"/>
      <c r="R13" s="1"/>
      <c r="S13" s="1"/>
      <c r="T13" s="1"/>
      <c r="U13" s="1"/>
      <c r="V13" s="1"/>
      <c r="W13" s="1"/>
      <c r="X13" s="1"/>
      <c r="Y13" s="1"/>
      <c r="Z13" s="1"/>
      <c r="AA13" s="1"/>
      <c r="AB13" s="1"/>
      <c r="AC13" s="1"/>
      <c r="AD13" s="1"/>
      <c r="AE13" s="1"/>
      <c r="AF13" s="1"/>
    </row>
    <row r="14" spans="2:32" ht="13.9" customHeight="1" thickBot="1">
      <c r="C14" s="7"/>
      <c r="E14" s="159" t="s">
        <v>126</v>
      </c>
      <c r="F14" s="140"/>
      <c r="G14" s="144"/>
      <c r="H14" s="148"/>
      <c r="I14" s="144"/>
      <c r="J14" s="140"/>
      <c r="K14" s="140">
        <f>SUM(K10:K13)</f>
        <v>16915.899999999998</v>
      </c>
      <c r="L14" s="1"/>
      <c r="M14" s="1"/>
      <c r="N14" s="1"/>
      <c r="O14" s="1"/>
      <c r="P14" s="1"/>
      <c r="Q14" s="1"/>
      <c r="R14" s="1"/>
      <c r="S14" s="1"/>
      <c r="T14" s="1"/>
      <c r="U14" s="1"/>
      <c r="V14" s="1"/>
      <c r="W14" s="1"/>
      <c r="X14" s="1"/>
      <c r="Y14" s="1"/>
      <c r="Z14" s="1"/>
      <c r="AA14" s="1"/>
      <c r="AB14" s="1"/>
      <c r="AC14" s="1"/>
      <c r="AD14" s="1"/>
      <c r="AE14" s="1"/>
      <c r="AF14" s="1"/>
    </row>
    <row r="15" spans="2:32" ht="13.5" thickBot="1">
      <c r="B15" s="44" t="s">
        <v>4</v>
      </c>
      <c r="C15" s="45" t="s">
        <v>5</v>
      </c>
      <c r="E15" s="2"/>
      <c r="F15" s="9"/>
      <c r="H15" s="2"/>
      <c r="J15" s="2"/>
      <c r="K15" s="2"/>
      <c r="L15" s="1"/>
      <c r="M15" s="1"/>
      <c r="N15" s="1"/>
      <c r="O15" s="1"/>
      <c r="P15" s="1"/>
      <c r="Q15" s="1"/>
      <c r="R15" s="1"/>
      <c r="S15" s="1"/>
      <c r="T15" s="1"/>
      <c r="U15" s="1"/>
      <c r="V15" s="1"/>
      <c r="W15" s="1"/>
      <c r="X15" s="1"/>
      <c r="Y15" s="1"/>
      <c r="Z15" s="1"/>
      <c r="AA15" s="1"/>
      <c r="AB15" s="1"/>
      <c r="AC15" s="1"/>
      <c r="AD15" s="1"/>
      <c r="AE15" s="1"/>
      <c r="AF15" s="1"/>
    </row>
    <row r="16" spans="2:32">
      <c r="B16" s="40"/>
      <c r="C16" s="112"/>
      <c r="E16" s="154" t="s">
        <v>127</v>
      </c>
      <c r="F16" s="107"/>
      <c r="G16" s="142"/>
      <c r="H16" s="149"/>
      <c r="I16" s="142"/>
      <c r="J16" s="102"/>
      <c r="K16" s="102"/>
      <c r="L16" s="1"/>
      <c r="M16" s="1"/>
      <c r="N16" s="1"/>
      <c r="O16" s="1"/>
      <c r="P16" s="1"/>
      <c r="Q16" s="1"/>
      <c r="R16" s="1"/>
      <c r="S16" s="1"/>
      <c r="T16" s="1"/>
      <c r="U16" s="1"/>
      <c r="V16" s="1"/>
      <c r="W16" s="1"/>
      <c r="X16" s="1"/>
      <c r="Y16" s="1"/>
      <c r="Z16" s="1"/>
      <c r="AA16" s="1"/>
      <c r="AB16" s="1"/>
      <c r="AC16" s="1"/>
      <c r="AD16" s="1"/>
      <c r="AE16" s="1"/>
      <c r="AF16" s="1"/>
    </row>
    <row r="17" spans="2:32" ht="12.75" customHeight="1">
      <c r="B17" s="43" t="s">
        <v>128</v>
      </c>
      <c r="C17" s="113">
        <v>5</v>
      </c>
      <c r="E17" s="155" t="s">
        <v>129</v>
      </c>
      <c r="F17" s="102"/>
      <c r="G17" s="142"/>
      <c r="H17" s="149"/>
      <c r="I17" s="142"/>
      <c r="J17" s="102"/>
      <c r="K17" s="102"/>
      <c r="L17" s="1"/>
      <c r="M17" s="1"/>
      <c r="N17" s="1"/>
      <c r="O17" s="1"/>
      <c r="P17" s="1"/>
      <c r="Q17" s="1"/>
      <c r="R17" s="1"/>
      <c r="S17" s="1"/>
      <c r="T17" s="1"/>
      <c r="U17" s="1"/>
      <c r="V17" s="1"/>
      <c r="W17" s="1"/>
      <c r="X17" s="1"/>
      <c r="Y17" s="1"/>
      <c r="Z17" s="1"/>
      <c r="AA17" s="1"/>
      <c r="AB17" s="1"/>
      <c r="AC17" s="1"/>
      <c r="AD17" s="1"/>
      <c r="AE17" s="1"/>
      <c r="AF17" s="1"/>
    </row>
    <row r="18" spans="2:32" ht="12.75" customHeight="1">
      <c r="B18" s="43"/>
      <c r="C18" s="103"/>
      <c r="E18" s="158" t="s">
        <v>130</v>
      </c>
      <c r="F18" s="104">
        <f>ROUNDUP(SUM(C17:C21)*C8*1.25,0)</f>
        <v>8594</v>
      </c>
      <c r="G18" s="143">
        <f>ROUNDUP(SUM(C17:C21)*C8/C10,0)</f>
        <v>459</v>
      </c>
      <c r="H18" s="147">
        <v>143.22999999999999</v>
      </c>
      <c r="I18" s="143">
        <v>150</v>
      </c>
      <c r="J18" s="150">
        <f t="shared" ref="J18:J23" si="1">ROUNDUP(F18/I18,0)</f>
        <v>58</v>
      </c>
      <c r="K18" s="150">
        <f t="shared" ref="K18:K23" si="2">H18*J18</f>
        <v>8307.34</v>
      </c>
      <c r="L18" s="1"/>
      <c r="M18" s="1"/>
      <c r="N18" s="1"/>
      <c r="O18" s="1"/>
      <c r="P18" s="1"/>
      <c r="Q18" s="1"/>
      <c r="R18" s="1"/>
      <c r="S18" s="1"/>
      <c r="T18" s="1"/>
      <c r="U18" s="1"/>
      <c r="V18" s="1"/>
      <c r="W18" s="1"/>
      <c r="X18" s="1"/>
      <c r="Y18" s="1"/>
      <c r="Z18" s="1"/>
      <c r="AA18" s="1"/>
      <c r="AB18" s="1"/>
      <c r="AC18" s="1"/>
      <c r="AD18" s="1"/>
      <c r="AE18" s="1"/>
      <c r="AF18" s="1"/>
    </row>
    <row r="19" spans="2:32" ht="12.75" customHeight="1">
      <c r="B19" s="43" t="s">
        <v>131</v>
      </c>
      <c r="C19" s="113">
        <v>5</v>
      </c>
      <c r="E19" s="158" t="s">
        <v>132</v>
      </c>
      <c r="F19" s="105">
        <f>ROUNDUP(SUM(C17:C21)*C8*1.25,0)</f>
        <v>8594</v>
      </c>
      <c r="G19" s="143">
        <f>ROUNDUP(SUM(C17:C21)*C8/C10,0)</f>
        <v>459</v>
      </c>
      <c r="H19" s="147">
        <v>1484.6235418875929</v>
      </c>
      <c r="I19" s="143">
        <v>1404</v>
      </c>
      <c r="J19" s="150">
        <f t="shared" si="1"/>
        <v>7</v>
      </c>
      <c r="K19" s="150">
        <f t="shared" si="2"/>
        <v>10392.36479321315</v>
      </c>
      <c r="L19" s="1"/>
      <c r="M19" s="1"/>
      <c r="N19" s="1"/>
      <c r="O19" s="1"/>
      <c r="P19" s="1"/>
      <c r="Q19" s="1"/>
      <c r="R19" s="1"/>
      <c r="S19" s="1"/>
      <c r="T19" s="1"/>
      <c r="U19" s="1"/>
      <c r="V19" s="1"/>
      <c r="W19" s="1"/>
      <c r="X19" s="1"/>
      <c r="Y19" s="1"/>
      <c r="Z19" s="1"/>
    </row>
    <row r="20" spans="2:32" ht="12.75" customHeight="1">
      <c r="B20" s="40"/>
      <c r="C20" s="102"/>
      <c r="E20" s="158" t="s">
        <v>133</v>
      </c>
      <c r="F20" s="106">
        <f>ROUNDUP(SUM(C17:C21)*C8*1.25,0)</f>
        <v>8594</v>
      </c>
      <c r="G20" s="143">
        <f>ROUNDUP(SUM(C17:C21)*C8/C10,0)</f>
        <v>459</v>
      </c>
      <c r="H20" s="147">
        <v>12.2</v>
      </c>
      <c r="I20" s="143">
        <v>120</v>
      </c>
      <c r="J20" s="150">
        <f t="shared" si="1"/>
        <v>72</v>
      </c>
      <c r="K20" s="150">
        <f t="shared" si="2"/>
        <v>878.4</v>
      </c>
    </row>
    <row r="21" spans="2:32" ht="12.75" customHeight="1">
      <c r="B21" s="93" t="s">
        <v>134</v>
      </c>
      <c r="C21" s="113">
        <v>1</v>
      </c>
      <c r="E21" s="158" t="s">
        <v>135</v>
      </c>
      <c r="F21" s="106">
        <f>ROUNDUP(SUM(C17:C21)*C8*1.25,0)</f>
        <v>8594</v>
      </c>
      <c r="G21" s="143">
        <f>ROUNDUP(SUM(C17:C21)*C8/C10,0)</f>
        <v>459</v>
      </c>
      <c r="H21" s="147">
        <v>8.43</v>
      </c>
      <c r="I21" s="143">
        <v>100</v>
      </c>
      <c r="J21" s="150">
        <f t="shared" si="1"/>
        <v>86</v>
      </c>
      <c r="K21" s="150">
        <f t="shared" si="2"/>
        <v>724.98</v>
      </c>
    </row>
    <row r="22" spans="2:32" ht="12.75" customHeight="1" thickBot="1">
      <c r="B22" s="42"/>
      <c r="C22" s="114"/>
      <c r="E22" s="158" t="s">
        <v>136</v>
      </c>
      <c r="F22" s="106">
        <f>ROUNDUP(SUM(C17:C19)*C8*1.25,0)</f>
        <v>7813</v>
      </c>
      <c r="G22" s="143">
        <f>ROUNDUP(SUM(C17:C19)*C8/C10,0)</f>
        <v>417</v>
      </c>
      <c r="H22" s="147">
        <v>61.51</v>
      </c>
      <c r="I22" s="143">
        <v>500</v>
      </c>
      <c r="J22" s="150">
        <f t="shared" si="1"/>
        <v>16</v>
      </c>
      <c r="K22" s="150">
        <f t="shared" si="2"/>
        <v>984.16</v>
      </c>
    </row>
    <row r="23" spans="2:32" ht="12.75" customHeight="1">
      <c r="B23" s="94"/>
      <c r="C23" s="94"/>
      <c r="E23" s="158" t="s">
        <v>137</v>
      </c>
      <c r="F23" s="106">
        <f>ROUNDUP(SUM(C17:C21)*C8*1.25,0)</f>
        <v>8594</v>
      </c>
      <c r="G23" s="143">
        <f>ROUNDUP(SUM(C17:C21)*C8/C10,0)</f>
        <v>459</v>
      </c>
      <c r="H23" s="147">
        <v>0.43</v>
      </c>
      <c r="I23" s="143">
        <v>100</v>
      </c>
      <c r="J23" s="150">
        <f t="shared" si="1"/>
        <v>86</v>
      </c>
      <c r="K23" s="150">
        <f t="shared" si="2"/>
        <v>36.979999999999997</v>
      </c>
    </row>
    <row r="24" spans="2:32" ht="12.75" customHeight="1">
      <c r="B24" s="94"/>
      <c r="C24" s="94"/>
      <c r="E24" s="159" t="s">
        <v>138</v>
      </c>
      <c r="F24" s="140"/>
      <c r="G24" s="144"/>
      <c r="H24" s="140"/>
      <c r="I24" s="144"/>
      <c r="J24" s="140"/>
      <c r="K24" s="140">
        <f>SUM(K18:K23)</f>
        <v>21324.22479321315</v>
      </c>
    </row>
    <row r="25" spans="2:32" ht="12.75" customHeight="1">
      <c r="B25" s="94"/>
      <c r="C25" s="94"/>
      <c r="E25" s="2"/>
      <c r="F25" s="9"/>
      <c r="G25" s="8"/>
      <c r="H25" s="2"/>
      <c r="I25" s="1"/>
      <c r="J25" s="2"/>
      <c r="K25" s="2"/>
    </row>
    <row r="26" spans="2:32" ht="12.75" customHeight="1">
      <c r="B26" s="94"/>
      <c r="C26" s="94"/>
      <c r="E26" s="154" t="s">
        <v>139</v>
      </c>
      <c r="F26" s="102"/>
      <c r="G26" s="142"/>
      <c r="H26" s="102"/>
      <c r="I26" s="142"/>
      <c r="J26" s="102"/>
      <c r="K26" s="102">
        <f>(K14+K24)*0.1</f>
        <v>3824.0124793213154</v>
      </c>
    </row>
    <row r="27" spans="2:32" ht="12.75" customHeight="1">
      <c r="B27" s="95"/>
      <c r="C27" s="94"/>
      <c r="E27" s="5"/>
      <c r="F27" s="102"/>
      <c r="G27" s="142"/>
      <c r="H27" s="102"/>
      <c r="I27" s="142"/>
      <c r="J27" s="102"/>
      <c r="K27" s="102"/>
      <c r="L27" s="123"/>
    </row>
    <row r="28" spans="2:32" ht="12.75" customHeight="1">
      <c r="B28" s="95"/>
      <c r="C28" s="94"/>
      <c r="E28" s="160" t="s">
        <v>140</v>
      </c>
      <c r="F28" s="102"/>
      <c r="G28" s="142"/>
      <c r="H28" s="102"/>
      <c r="I28" s="142"/>
      <c r="J28" s="102"/>
      <c r="K28" s="162">
        <f>ROUNDUP(C10*1.1,0)*100</f>
        <v>1700</v>
      </c>
    </row>
    <row r="29" spans="2:32" ht="12.75" customHeight="1" thickBot="1">
      <c r="B29" s="94"/>
      <c r="C29" s="94"/>
      <c r="E29" s="161"/>
      <c r="F29" s="108"/>
      <c r="G29" s="145"/>
      <c r="H29" s="108"/>
      <c r="I29" s="145"/>
      <c r="J29" s="108"/>
      <c r="K29" s="108"/>
    </row>
    <row r="30" spans="2:32" ht="12.75" customHeight="1">
      <c r="J30" s="87"/>
      <c r="K30" s="121"/>
      <c r="L30" s="122"/>
    </row>
    <row r="31" spans="2:32" ht="12.75" customHeight="1" thickBot="1">
      <c r="E31" s="203" t="s">
        <v>141</v>
      </c>
      <c r="F31" s="218"/>
      <c r="G31" s="218"/>
      <c r="H31" s="204"/>
      <c r="J31" s="126" t="s">
        <v>142</v>
      </c>
      <c r="K31" s="127">
        <f>K14+K24+K26+K28</f>
        <v>43764.13727253447</v>
      </c>
    </row>
    <row r="32" spans="2:32" ht="12.75" customHeight="1">
      <c r="E32" s="199"/>
      <c r="F32" s="214"/>
      <c r="G32" s="214"/>
      <c r="H32" s="200"/>
      <c r="J32" s="124"/>
      <c r="K32" s="125"/>
    </row>
    <row r="33" spans="5:11" ht="12.75" customHeight="1">
      <c r="E33" s="199"/>
      <c r="F33" s="214"/>
      <c r="G33" s="214"/>
      <c r="H33" s="200"/>
      <c r="J33" s="151"/>
      <c r="K33" s="152"/>
    </row>
    <row r="34" spans="5:11" ht="12.75" customHeight="1">
      <c r="E34" s="199"/>
      <c r="F34" s="214"/>
      <c r="G34" s="214"/>
      <c r="H34" s="200"/>
      <c r="J34" s="151"/>
      <c r="K34" s="152"/>
    </row>
    <row r="35" spans="5:11">
      <c r="E35" s="199" t="s">
        <v>143</v>
      </c>
      <c r="F35" s="214"/>
      <c r="G35" s="214"/>
      <c r="H35" s="200"/>
      <c r="J35" s="151"/>
      <c r="K35" s="152"/>
    </row>
    <row r="36" spans="5:11">
      <c r="E36" s="199"/>
      <c r="F36" s="214"/>
      <c r="G36" s="214"/>
      <c r="H36" s="200"/>
      <c r="J36" s="151"/>
      <c r="K36" s="152"/>
    </row>
    <row r="37" spans="5:11">
      <c r="E37" s="201"/>
      <c r="F37" s="215"/>
      <c r="G37" s="215"/>
      <c r="H37" s="202"/>
      <c r="J37" s="151"/>
      <c r="K37" s="152"/>
    </row>
  </sheetData>
  <mergeCells count="6">
    <mergeCell ref="E35:H37"/>
    <mergeCell ref="B1:C1"/>
    <mergeCell ref="B4:C4"/>
    <mergeCell ref="B13:C13"/>
    <mergeCell ref="E4:K4"/>
    <mergeCell ref="E31:H34"/>
  </mergeCells>
  <pageMargins left="0.7" right="0.7" top="0.75" bottom="0.75" header="0.3" footer="0.3"/>
  <pageSetup paperSize="9" orientation="portrait" r:id="rId1"/>
  <ignoredErrors>
    <ignoredError sqref="F10:F13 F18:F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ABE17597145F49B21158024A559345" ma:contentTypeVersion="11" ma:contentTypeDescription="Create a new document." ma:contentTypeScope="" ma:versionID="19dfab958770e3b7f63de255a1dcfe9f">
  <xsd:schema xmlns:xsd="http://www.w3.org/2001/XMLSchema" xmlns:xs="http://www.w3.org/2001/XMLSchema" xmlns:p="http://schemas.microsoft.com/office/2006/metadata/properties" xmlns:ns3="6b600aae-c5ae-4cf8-9b76-1b4cc3a272cb" xmlns:ns4="c0dbac92-719d-49a3-ab35-b3f7b04dda5f" targetNamespace="http://schemas.microsoft.com/office/2006/metadata/properties" ma:root="true" ma:fieldsID="213f15401434b245f9cdf351ae13c08d" ns3:_="" ns4:_="">
    <xsd:import namespace="6b600aae-c5ae-4cf8-9b76-1b4cc3a272cb"/>
    <xsd:import namespace="c0dbac92-719d-49a3-ab35-b3f7b04dda5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00aae-c5ae-4cf8-9b76-1b4cc3a272c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dbac92-719d-49a3-ab35-b3f7b04dda5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143DA2-6EBF-4DEB-B884-409EB09311B6}"/>
</file>

<file path=customXml/itemProps2.xml><?xml version="1.0" encoding="utf-8"?>
<ds:datastoreItem xmlns:ds="http://schemas.openxmlformats.org/officeDocument/2006/customXml" ds:itemID="{C63C105C-76B5-4A72-8FA8-188F204B9455}"/>
</file>

<file path=customXml/itemProps3.xml><?xml version="1.0" encoding="utf-8"?>
<ds:datastoreItem xmlns:ds="http://schemas.openxmlformats.org/officeDocument/2006/customXml" ds:itemID="{E0B27B08-FE9A-4A4C-B759-531AC93D40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MICS6</cp:keywords>
  <dc:description/>
  <cp:lastModifiedBy>Bo Robert Beshanski-Pedersen</cp:lastModifiedBy>
  <cp:revision/>
  <dcterms:created xsi:type="dcterms:W3CDTF">2005-05-03T23:15:00Z</dcterms:created>
  <dcterms:modified xsi:type="dcterms:W3CDTF">2019-09-12T14:01:11Z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0x01010059ABE17597145F49B21158024A559345</vt:lpwstr>
  </property>
</Properties>
</file>